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Metodkab-203\Desktop\35.02.16 Эксплуатация и ремонт сх техн и оборуд\"/>
    </mc:Choice>
  </mc:AlternateContent>
  <xr:revisionPtr revIDLastSave="0" documentId="13_ncr:1_{D0B5D5E2-C297-4A29-8FBE-0A7F55EDDAB7}" xr6:coauthVersionLast="47" xr6:coauthVersionMax="47" xr10:uidLastSave="{00000000-0000-0000-0000-000000000000}"/>
  <bookViews>
    <workbookView xWindow="45" yWindow="105" windowWidth="12900" windowHeight="15450" tabRatio="715" activeTab="3" xr2:uid="{00000000-000D-0000-FFFF-FFFF00000000}"/>
  </bookViews>
  <sheets>
    <sheet name="Титульный лист" sheetId="1" r:id="rId1"/>
    <sheet name="План учебного процесса" sheetId="2" r:id="rId2"/>
    <sheet name="КУП" sheetId="3" r:id="rId3"/>
    <sheet name="Перечень кабинетов" sheetId="4" r:id="rId4"/>
    <sheet name="Сводные данные по бюджету " sheetId="5" r:id="rId5"/>
    <sheet name="1 курс" sheetId="6" r:id="rId6"/>
    <sheet name="2 курс" sheetId="10" r:id="rId7"/>
    <sheet name="3 курс" sheetId="13" r:id="rId8"/>
    <sheet name="4 курс" sheetId="14" r:id="rId9"/>
  </sheets>
  <definedNames>
    <definedName name="_xlnm.Print_Area" localSheetId="3">'Перечень кабинетов'!$A$1:$D$59</definedName>
    <definedName name="_xlnm.Print_Area" localSheetId="1">'План учебного процесса'!$A$1:$AZ$85</definedName>
    <definedName name="_xlnm.Print_Area" localSheetId="4">'Сводные данные по бюджету '!$A$1:$J$34</definedName>
    <definedName name="_xlnm.Print_Area" localSheetId="0">'Титульный лист'!$A$1:$BV$54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12" i="4" l="1"/>
  <c r="C13" i="4"/>
  <c r="C14" i="4" s="1"/>
  <c r="C15" i="4" s="1"/>
  <c r="C16" i="4" s="1"/>
  <c r="C17" i="4" s="1"/>
  <c r="C18" i="4" s="1"/>
  <c r="B15" i="13"/>
  <c r="C15" i="13" s="1"/>
  <c r="S15" i="13" s="1"/>
  <c r="B19" i="13"/>
  <c r="C19" i="13" s="1"/>
  <c r="S19" i="13" s="1"/>
  <c r="B16" i="13"/>
  <c r="C16" i="13" s="1"/>
  <c r="S16" i="13" s="1"/>
  <c r="O52" i="2"/>
  <c r="AH84" i="2"/>
  <c r="AW84" i="2"/>
  <c r="AR84" i="2"/>
  <c r="AM84" i="2"/>
  <c r="AC84" i="2"/>
  <c r="X84" i="2"/>
  <c r="S11" i="14"/>
  <c r="P11" i="14"/>
  <c r="R10" i="14"/>
  <c r="O10" i="14"/>
  <c r="B22" i="14"/>
  <c r="C22" i="14" s="1"/>
  <c r="B21" i="14"/>
  <c r="C21" i="14" s="1"/>
  <c r="B20" i="14"/>
  <c r="C20" i="14" s="1"/>
  <c r="E20" i="14" s="1"/>
  <c r="B17" i="14"/>
  <c r="C17" i="14" s="1"/>
  <c r="M17" i="14" s="1"/>
  <c r="B18" i="14"/>
  <c r="C18" i="14" s="1"/>
  <c r="R18" i="14" s="1"/>
  <c r="T18" i="14" s="1"/>
  <c r="B19" i="14"/>
  <c r="C19" i="14" s="1"/>
  <c r="L19" i="14" s="1"/>
  <c r="B16" i="14"/>
  <c r="C16" i="14" s="1"/>
  <c r="B15" i="14"/>
  <c r="C15" i="14" s="1"/>
  <c r="B14" i="14"/>
  <c r="C14" i="14" s="1"/>
  <c r="B13" i="14"/>
  <c r="C13" i="14" s="1"/>
  <c r="K13" i="14" s="1"/>
  <c r="S11" i="13"/>
  <c r="P11" i="13"/>
  <c r="R10" i="13"/>
  <c r="O10" i="13"/>
  <c r="B27" i="13"/>
  <c r="C27" i="13" s="1"/>
  <c r="B26" i="13"/>
  <c r="C26" i="13" s="1"/>
  <c r="O26" i="13" s="1"/>
  <c r="Q26" i="13" s="1"/>
  <c r="B25" i="13"/>
  <c r="C25" i="13" s="1"/>
  <c r="D25" i="13" s="1"/>
  <c r="B24" i="13"/>
  <c r="C24" i="13" s="1"/>
  <c r="D24" i="13" s="1"/>
  <c r="B23" i="13"/>
  <c r="C23" i="13" s="1"/>
  <c r="O23" i="13" s="1"/>
  <c r="Q23" i="13" s="1"/>
  <c r="B22" i="13"/>
  <c r="C22" i="13" s="1"/>
  <c r="E22" i="13" s="1"/>
  <c r="B21" i="13"/>
  <c r="C21" i="13" s="1"/>
  <c r="E21" i="13" s="1"/>
  <c r="B20" i="13"/>
  <c r="C20" i="13" s="1"/>
  <c r="L20" i="13" s="1"/>
  <c r="B18" i="13"/>
  <c r="C18" i="13" s="1"/>
  <c r="L18" i="13" s="1"/>
  <c r="B17" i="13"/>
  <c r="C17" i="13" s="1"/>
  <c r="R17" i="13" s="1"/>
  <c r="B14" i="13"/>
  <c r="C14" i="13" s="1"/>
  <c r="L14" i="13" s="1"/>
  <c r="B13" i="13"/>
  <c r="C13" i="13" s="1"/>
  <c r="M13" i="13" s="1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13" i="6"/>
  <c r="B30" i="10"/>
  <c r="C30" i="10" s="1"/>
  <c r="L30" i="10" s="1"/>
  <c r="B29" i="10"/>
  <c r="C29" i="10" s="1"/>
  <c r="L29" i="10" s="1"/>
  <c r="B22" i="10"/>
  <c r="C22" i="10" s="1"/>
  <c r="B23" i="10"/>
  <c r="C23" i="10" s="1"/>
  <c r="B24" i="10"/>
  <c r="C24" i="10" s="1"/>
  <c r="B25" i="10"/>
  <c r="C25" i="10" s="1"/>
  <c r="B26" i="10"/>
  <c r="C26" i="10" s="1"/>
  <c r="L26" i="10" s="1"/>
  <c r="B27" i="10"/>
  <c r="C27" i="10" s="1"/>
  <c r="B28" i="10"/>
  <c r="C28" i="10" s="1"/>
  <c r="L28" i="10" s="1"/>
  <c r="B21" i="10"/>
  <c r="C21" i="10" s="1"/>
  <c r="E21" i="10" s="1"/>
  <c r="B20" i="10"/>
  <c r="C20" i="10" s="1"/>
  <c r="P20" i="10" s="1"/>
  <c r="B14" i="10"/>
  <c r="C14" i="10" s="1"/>
  <c r="O14" i="10" s="1"/>
  <c r="B15" i="10"/>
  <c r="C15" i="10" s="1"/>
  <c r="B16" i="10"/>
  <c r="C16" i="10" s="1"/>
  <c r="B17" i="10"/>
  <c r="C17" i="10" s="1"/>
  <c r="B18" i="10"/>
  <c r="C18" i="10" s="1"/>
  <c r="B19" i="10"/>
  <c r="C19" i="10" s="1"/>
  <c r="B13" i="10"/>
  <c r="C13" i="10" s="1"/>
  <c r="S13" i="10" s="1"/>
  <c r="B31" i="10"/>
  <c r="C31" i="10" s="1"/>
  <c r="E31" i="10" s="1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13" i="6"/>
  <c r="S11" i="10"/>
  <c r="P11" i="10"/>
  <c r="R10" i="10"/>
  <c r="O10" i="10"/>
  <c r="O14" i="6"/>
  <c r="P14" i="6"/>
  <c r="R14" i="6"/>
  <c r="S14" i="6"/>
  <c r="O15" i="6"/>
  <c r="P15" i="6"/>
  <c r="R15" i="6"/>
  <c r="S15" i="6"/>
  <c r="O16" i="6"/>
  <c r="P16" i="6"/>
  <c r="R16" i="6"/>
  <c r="S16" i="6"/>
  <c r="O17" i="6"/>
  <c r="P17" i="6"/>
  <c r="R17" i="6"/>
  <c r="S17" i="6"/>
  <c r="O18" i="6"/>
  <c r="P18" i="6"/>
  <c r="R18" i="6"/>
  <c r="S18" i="6"/>
  <c r="O19" i="6"/>
  <c r="P19" i="6"/>
  <c r="R19" i="6"/>
  <c r="S19" i="6"/>
  <c r="O20" i="6"/>
  <c r="P20" i="6"/>
  <c r="R20" i="6"/>
  <c r="S20" i="6"/>
  <c r="O21" i="6"/>
  <c r="P21" i="6"/>
  <c r="R21" i="6"/>
  <c r="S21" i="6"/>
  <c r="O22" i="6"/>
  <c r="P22" i="6"/>
  <c r="R22" i="6"/>
  <c r="S22" i="6"/>
  <c r="O23" i="6"/>
  <c r="P23" i="6"/>
  <c r="R23" i="6"/>
  <c r="S23" i="6"/>
  <c r="O24" i="6"/>
  <c r="P24" i="6"/>
  <c r="R24" i="6"/>
  <c r="S24" i="6"/>
  <c r="O25" i="6"/>
  <c r="P25" i="6"/>
  <c r="R25" i="6"/>
  <c r="S25" i="6"/>
  <c r="O26" i="6"/>
  <c r="P26" i="6"/>
  <c r="R26" i="6"/>
  <c r="S26" i="6"/>
  <c r="S13" i="6"/>
  <c r="R13" i="6"/>
  <c r="P13" i="6"/>
  <c r="O13" i="6"/>
  <c r="G14" i="6"/>
  <c r="N14" i="6" s="1"/>
  <c r="G15" i="6"/>
  <c r="N15" i="6" s="1"/>
  <c r="G16" i="6"/>
  <c r="N16" i="6" s="1"/>
  <c r="G17" i="6"/>
  <c r="N17" i="6" s="1"/>
  <c r="G18" i="6"/>
  <c r="N18" i="6" s="1"/>
  <c r="G19" i="6"/>
  <c r="N19" i="6" s="1"/>
  <c r="G20" i="6"/>
  <c r="N20" i="6" s="1"/>
  <c r="G21" i="6"/>
  <c r="N21" i="6" s="1"/>
  <c r="G22" i="6"/>
  <c r="N22" i="6" s="1"/>
  <c r="G23" i="6"/>
  <c r="N23" i="6" s="1"/>
  <c r="G24" i="6"/>
  <c r="N24" i="6" s="1"/>
  <c r="G25" i="6"/>
  <c r="N25" i="6" s="1"/>
  <c r="G26" i="6"/>
  <c r="N26" i="6" s="1"/>
  <c r="G13" i="6"/>
  <c r="N13" i="6" s="1"/>
  <c r="D14" i="6"/>
  <c r="E14" i="6"/>
  <c r="F14" i="6"/>
  <c r="D15" i="6"/>
  <c r="E15" i="6"/>
  <c r="F15" i="6"/>
  <c r="D16" i="6"/>
  <c r="E16" i="6"/>
  <c r="F16" i="6"/>
  <c r="D17" i="6"/>
  <c r="E17" i="6"/>
  <c r="F17" i="6"/>
  <c r="D18" i="6"/>
  <c r="E18" i="6"/>
  <c r="F18" i="6"/>
  <c r="D19" i="6"/>
  <c r="E19" i="6"/>
  <c r="F19" i="6"/>
  <c r="D20" i="6"/>
  <c r="E20" i="6"/>
  <c r="F20" i="6"/>
  <c r="D21" i="6"/>
  <c r="E21" i="6"/>
  <c r="F21" i="6"/>
  <c r="D22" i="6"/>
  <c r="E22" i="6"/>
  <c r="F22" i="6"/>
  <c r="D23" i="6"/>
  <c r="E23" i="6"/>
  <c r="F23" i="6"/>
  <c r="D24" i="6"/>
  <c r="E24" i="6"/>
  <c r="F24" i="6"/>
  <c r="D25" i="6"/>
  <c r="E25" i="6"/>
  <c r="F25" i="6"/>
  <c r="D26" i="6"/>
  <c r="E26" i="6"/>
  <c r="F26" i="6"/>
  <c r="E13" i="6"/>
  <c r="F13" i="6"/>
  <c r="D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13" i="6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N23" i="2"/>
  <c r="K23" i="2"/>
  <c r="G23" i="2"/>
  <c r="H32" i="2"/>
  <c r="J32" i="2"/>
  <c r="L32" i="2"/>
  <c r="M32" i="2"/>
  <c r="O32" i="2"/>
  <c r="E14" i="13" l="1"/>
  <c r="E15" i="13"/>
  <c r="F15" i="13"/>
  <c r="K15" i="13"/>
  <c r="L15" i="13"/>
  <c r="M15" i="13"/>
  <c r="O15" i="13"/>
  <c r="P15" i="13"/>
  <c r="I15" i="13" s="1"/>
  <c r="R15" i="13"/>
  <c r="T15" i="13" s="1"/>
  <c r="E16" i="13"/>
  <c r="D19" i="13"/>
  <c r="E19" i="13"/>
  <c r="F19" i="13"/>
  <c r="K19" i="13"/>
  <c r="L19" i="13"/>
  <c r="M19" i="13"/>
  <c r="O19" i="13"/>
  <c r="P19" i="13"/>
  <c r="I19" i="13" s="1"/>
  <c r="R19" i="13"/>
  <c r="T19" i="13" s="1"/>
  <c r="F16" i="13"/>
  <c r="K16" i="13"/>
  <c r="L16" i="13"/>
  <c r="M16" i="13"/>
  <c r="O16" i="13"/>
  <c r="P16" i="13"/>
  <c r="I16" i="13" s="1"/>
  <c r="R16" i="13"/>
  <c r="T16" i="13" s="1"/>
  <c r="T17" i="13"/>
  <c r="D25" i="10"/>
  <c r="L25" i="10"/>
  <c r="M27" i="13"/>
  <c r="L27" i="13"/>
  <c r="P16" i="10"/>
  <c r="L16" i="10"/>
  <c r="D27" i="10"/>
  <c r="L27" i="10"/>
  <c r="O24" i="10"/>
  <c r="Q24" i="10" s="1"/>
  <c r="L24" i="10"/>
  <c r="D23" i="10"/>
  <c r="L23" i="10"/>
  <c r="P22" i="10"/>
  <c r="L22" i="10"/>
  <c r="M19" i="10"/>
  <c r="L19" i="10"/>
  <c r="E18" i="10"/>
  <c r="L18" i="10"/>
  <c r="M17" i="10"/>
  <c r="L17" i="10"/>
  <c r="M15" i="10"/>
  <c r="L15" i="10"/>
  <c r="M21" i="13"/>
  <c r="L13" i="13"/>
  <c r="M20" i="13"/>
  <c r="M18" i="13"/>
  <c r="L26" i="13"/>
  <c r="M17" i="13"/>
  <c r="L25" i="13"/>
  <c r="L13" i="10"/>
  <c r="M24" i="13"/>
  <c r="L31" i="10"/>
  <c r="L23" i="13"/>
  <c r="M25" i="13"/>
  <c r="L20" i="10"/>
  <c r="L24" i="13"/>
  <c r="S20" i="14"/>
  <c r="M23" i="13"/>
  <c r="M22" i="13"/>
  <c r="R20" i="14"/>
  <c r="T20" i="14" s="1"/>
  <c r="P20" i="14"/>
  <c r="M14" i="13"/>
  <c r="L22" i="13"/>
  <c r="L21" i="13"/>
  <c r="L17" i="13"/>
  <c r="O20" i="14"/>
  <c r="M20" i="14"/>
  <c r="P18" i="14"/>
  <c r="O18" i="14"/>
  <c r="Q18" i="14" s="1"/>
  <c r="M18" i="14"/>
  <c r="L18" i="14"/>
  <c r="M26" i="13"/>
  <c r="L21" i="10"/>
  <c r="M21" i="14"/>
  <c r="O21" i="14"/>
  <c r="D21" i="14"/>
  <c r="F21" i="14"/>
  <c r="L21" i="14"/>
  <c r="E21" i="14"/>
  <c r="K21" i="14"/>
  <c r="P21" i="14"/>
  <c r="R21" i="14"/>
  <c r="T21" i="14" s="1"/>
  <c r="S21" i="14"/>
  <c r="L15" i="14"/>
  <c r="K15" i="14"/>
  <c r="S15" i="14"/>
  <c r="D15" i="14"/>
  <c r="E15" i="14"/>
  <c r="F15" i="14"/>
  <c r="M15" i="14"/>
  <c r="O15" i="14"/>
  <c r="P15" i="14"/>
  <c r="R15" i="14"/>
  <c r="T15" i="14" s="1"/>
  <c r="R22" i="14"/>
  <c r="T22" i="14" s="1"/>
  <c r="D22" i="14"/>
  <c r="M22" i="14"/>
  <c r="S22" i="14"/>
  <c r="E22" i="14"/>
  <c r="K22" i="14"/>
  <c r="L22" i="14"/>
  <c r="P22" i="14"/>
  <c r="F22" i="14"/>
  <c r="O22" i="14"/>
  <c r="R16" i="14"/>
  <c r="T16" i="14" s="1"/>
  <c r="P16" i="14"/>
  <c r="S16" i="14"/>
  <c r="F16" i="14"/>
  <c r="L16" i="14"/>
  <c r="E16" i="14"/>
  <c r="D16" i="14"/>
  <c r="M16" i="14"/>
  <c r="O16" i="14"/>
  <c r="R14" i="14"/>
  <c r="T14" i="14" s="1"/>
  <c r="F14" i="14"/>
  <c r="L14" i="14"/>
  <c r="S14" i="14"/>
  <c r="K14" i="14"/>
  <c r="M14" i="14"/>
  <c r="O14" i="14"/>
  <c r="D14" i="14"/>
  <c r="E14" i="14"/>
  <c r="P14" i="14"/>
  <c r="F20" i="14"/>
  <c r="R13" i="14"/>
  <c r="T13" i="14" s="1"/>
  <c r="S19" i="14"/>
  <c r="S17" i="14"/>
  <c r="P13" i="14"/>
  <c r="D18" i="14"/>
  <c r="P19" i="14"/>
  <c r="L13" i="14"/>
  <c r="M19" i="14"/>
  <c r="L17" i="14"/>
  <c r="F13" i="14"/>
  <c r="K19" i="14"/>
  <c r="E13" i="14"/>
  <c r="L20" i="14"/>
  <c r="F18" i="14"/>
  <c r="D20" i="14"/>
  <c r="E19" i="14"/>
  <c r="R19" i="14"/>
  <c r="T19" i="14" s="1"/>
  <c r="M13" i="14"/>
  <c r="F19" i="14"/>
  <c r="F17" i="14"/>
  <c r="D19" i="14"/>
  <c r="K20" i="14"/>
  <c r="D13" i="14"/>
  <c r="D17" i="14"/>
  <c r="S18" i="14"/>
  <c r="S13" i="14"/>
  <c r="R17" i="14"/>
  <c r="T17" i="14" s="1"/>
  <c r="O13" i="14"/>
  <c r="Q13" i="14" s="1"/>
  <c r="P17" i="14"/>
  <c r="O19" i="14"/>
  <c r="Q19" i="14" s="1"/>
  <c r="O17" i="14"/>
  <c r="K20" i="10"/>
  <c r="F13" i="13"/>
  <c r="L14" i="10"/>
  <c r="O22" i="13"/>
  <c r="P21" i="13"/>
  <c r="O21" i="13"/>
  <c r="D21" i="13"/>
  <c r="D22" i="13"/>
  <c r="D20" i="10"/>
  <c r="D18" i="10"/>
  <c r="R21" i="13"/>
  <c r="T21" i="13" s="1"/>
  <c r="O16" i="10"/>
  <c r="O20" i="13"/>
  <c r="E27" i="13"/>
  <c r="D27" i="13"/>
  <c r="F20" i="13"/>
  <c r="P20" i="13"/>
  <c r="E20" i="13"/>
  <c r="D20" i="13"/>
  <c r="S18" i="13"/>
  <c r="R18" i="13"/>
  <c r="T18" i="13" s="1"/>
  <c r="H26" i="13"/>
  <c r="R13" i="13"/>
  <c r="T13" i="13" s="1"/>
  <c r="F26" i="13"/>
  <c r="K18" i="13"/>
  <c r="S13" i="13"/>
  <c r="E26" i="13"/>
  <c r="D26" i="13"/>
  <c r="S21" i="13"/>
  <c r="F18" i="13"/>
  <c r="E18" i="13"/>
  <c r="P26" i="13"/>
  <c r="P13" i="13"/>
  <c r="S24" i="13"/>
  <c r="S26" i="13"/>
  <c r="R26" i="13"/>
  <c r="T26" i="13" s="1"/>
  <c r="I26" i="13"/>
  <c r="O13" i="13"/>
  <c r="R24" i="13"/>
  <c r="T24" i="13" s="1"/>
  <c r="O24" i="13"/>
  <c r="D18" i="13"/>
  <c r="S27" i="13"/>
  <c r="P17" i="13"/>
  <c r="K13" i="13"/>
  <c r="O17" i="13"/>
  <c r="K26" i="13"/>
  <c r="P24" i="13"/>
  <c r="K18" i="10"/>
  <c r="P18" i="10"/>
  <c r="R27" i="13"/>
  <c r="T27" i="13" s="1"/>
  <c r="P27" i="13"/>
  <c r="F18" i="10"/>
  <c r="O27" i="13"/>
  <c r="S20" i="13"/>
  <c r="F27" i="13"/>
  <c r="R20" i="13"/>
  <c r="T20" i="13" s="1"/>
  <c r="K17" i="13"/>
  <c r="K24" i="13"/>
  <c r="E23" i="13"/>
  <c r="D23" i="13"/>
  <c r="F17" i="13"/>
  <c r="P18" i="13"/>
  <c r="E17" i="13"/>
  <c r="K27" i="13"/>
  <c r="S25" i="13"/>
  <c r="S22" i="13"/>
  <c r="O18" i="13"/>
  <c r="D17" i="13"/>
  <c r="E13" i="13"/>
  <c r="I27" i="13"/>
  <c r="R25" i="13"/>
  <c r="T25" i="13" s="1"/>
  <c r="F24" i="13"/>
  <c r="R22" i="13"/>
  <c r="T22" i="13" s="1"/>
  <c r="F23" i="13"/>
  <c r="H27" i="13"/>
  <c r="P25" i="13"/>
  <c r="E24" i="13"/>
  <c r="F21" i="13"/>
  <c r="S14" i="13"/>
  <c r="O25" i="13"/>
  <c r="P22" i="13"/>
  <c r="R14" i="13"/>
  <c r="T14" i="13" s="1"/>
  <c r="P14" i="13"/>
  <c r="K25" i="13"/>
  <c r="I25" i="13"/>
  <c r="H25" i="13"/>
  <c r="K14" i="13"/>
  <c r="S23" i="13"/>
  <c r="P23" i="13"/>
  <c r="F14" i="13"/>
  <c r="O14" i="13"/>
  <c r="F25" i="13"/>
  <c r="R23" i="13"/>
  <c r="E25" i="13"/>
  <c r="F22" i="13"/>
  <c r="K20" i="13"/>
  <c r="S17" i="13"/>
  <c r="G27" i="6"/>
  <c r="K25" i="10"/>
  <c r="P31" i="10"/>
  <c r="K23" i="10"/>
  <c r="M21" i="10"/>
  <c r="R31" i="10"/>
  <c r="T31" i="10" s="1"/>
  <c r="K24" i="10"/>
  <c r="K22" i="10"/>
  <c r="K21" i="10"/>
  <c r="O22" i="10"/>
  <c r="K17" i="10"/>
  <c r="O18" i="10"/>
  <c r="K19" i="10"/>
  <c r="P17" i="10"/>
  <c r="K15" i="10"/>
  <c r="D31" i="10"/>
  <c r="S30" i="10"/>
  <c r="K16" i="10"/>
  <c r="R30" i="10"/>
  <c r="T30" i="10" s="1"/>
  <c r="P30" i="10"/>
  <c r="O17" i="10"/>
  <c r="K14" i="10"/>
  <c r="O30" i="10"/>
  <c r="F30" i="10"/>
  <c r="E30" i="10"/>
  <c r="D30" i="10"/>
  <c r="K13" i="10"/>
  <c r="E29" i="10"/>
  <c r="F16" i="10"/>
  <c r="D29" i="10"/>
  <c r="D14" i="10"/>
  <c r="K30" i="10"/>
  <c r="K29" i="10"/>
  <c r="M13" i="10"/>
  <c r="M30" i="10"/>
  <c r="K28" i="10"/>
  <c r="K27" i="10"/>
  <c r="M14" i="10"/>
  <c r="K26" i="10"/>
  <c r="O19" i="10"/>
  <c r="S21" i="10"/>
  <c r="R21" i="10"/>
  <c r="T21" i="10" s="1"/>
  <c r="O21" i="10"/>
  <c r="F29" i="10"/>
  <c r="P21" i="10"/>
  <c r="D21" i="10"/>
  <c r="O20" i="10"/>
  <c r="E28" i="10"/>
  <c r="D13" i="10"/>
  <c r="D28" i="10"/>
  <c r="E13" i="10"/>
  <c r="S27" i="10"/>
  <c r="F13" i="10"/>
  <c r="R27" i="10"/>
  <c r="T27" i="10" s="1"/>
  <c r="E16" i="10"/>
  <c r="F20" i="10"/>
  <c r="F14" i="10"/>
  <c r="F21" i="10"/>
  <c r="F28" i="10"/>
  <c r="I20" i="10"/>
  <c r="E20" i="10"/>
  <c r="P19" i="10"/>
  <c r="Q14" i="10"/>
  <c r="E24" i="10"/>
  <c r="D24" i="10"/>
  <c r="P27" i="10"/>
  <c r="S23" i="10"/>
  <c r="D16" i="10"/>
  <c r="O27" i="10"/>
  <c r="P25" i="10"/>
  <c r="R23" i="10"/>
  <c r="T23" i="10" s="1"/>
  <c r="S15" i="10"/>
  <c r="M29" i="10"/>
  <c r="O25" i="10"/>
  <c r="S19" i="10"/>
  <c r="S17" i="10"/>
  <c r="R15" i="10"/>
  <c r="T15" i="10" s="1"/>
  <c r="P23" i="10"/>
  <c r="R19" i="10"/>
  <c r="T19" i="10" s="1"/>
  <c r="R17" i="10"/>
  <c r="T17" i="10" s="1"/>
  <c r="M28" i="10"/>
  <c r="E26" i="10"/>
  <c r="S25" i="10"/>
  <c r="E22" i="10"/>
  <c r="R25" i="10"/>
  <c r="T25" i="10" s="1"/>
  <c r="D22" i="10"/>
  <c r="M31" i="10"/>
  <c r="O23" i="10"/>
  <c r="M27" i="10"/>
  <c r="M26" i="10"/>
  <c r="F15" i="10"/>
  <c r="M24" i="10"/>
  <c r="S26" i="10"/>
  <c r="F19" i="10"/>
  <c r="F17" i="10"/>
  <c r="D26" i="10"/>
  <c r="F24" i="10"/>
  <c r="O15" i="10"/>
  <c r="M25" i="10"/>
  <c r="F26" i="10"/>
  <c r="F22" i="10"/>
  <c r="P15" i="10"/>
  <c r="F27" i="10"/>
  <c r="E25" i="10"/>
  <c r="M23" i="10"/>
  <c r="S28" i="10"/>
  <c r="R26" i="10"/>
  <c r="T26" i="10" s="1"/>
  <c r="E19" i="10"/>
  <c r="E17" i="10"/>
  <c r="S14" i="10"/>
  <c r="M20" i="10"/>
  <c r="P28" i="10"/>
  <c r="S20" i="10"/>
  <c r="E27" i="10"/>
  <c r="F25" i="10"/>
  <c r="S29" i="10"/>
  <c r="F23" i="10"/>
  <c r="M22" i="10"/>
  <c r="R29" i="10"/>
  <c r="T29" i="10" s="1"/>
  <c r="R28" i="10"/>
  <c r="T28" i="10" s="1"/>
  <c r="E23" i="10"/>
  <c r="P29" i="10"/>
  <c r="S24" i="10"/>
  <c r="O13" i="10"/>
  <c r="O29" i="10"/>
  <c r="P26" i="10"/>
  <c r="R24" i="10"/>
  <c r="T24" i="10" s="1"/>
  <c r="D19" i="10"/>
  <c r="D17" i="10"/>
  <c r="R14" i="10"/>
  <c r="T14" i="10" s="1"/>
  <c r="P13" i="10"/>
  <c r="O28" i="10"/>
  <c r="O26" i="10"/>
  <c r="S22" i="10"/>
  <c r="S16" i="10"/>
  <c r="M18" i="10"/>
  <c r="R13" i="10"/>
  <c r="T13" i="10" s="1"/>
  <c r="P24" i="10"/>
  <c r="R22" i="10"/>
  <c r="T22" i="10" s="1"/>
  <c r="R20" i="10"/>
  <c r="T20" i="10" s="1"/>
  <c r="S18" i="10"/>
  <c r="R16" i="10"/>
  <c r="T16" i="10" s="1"/>
  <c r="P14" i="10"/>
  <c r="R18" i="10"/>
  <c r="T18" i="10" s="1"/>
  <c r="M16" i="10"/>
  <c r="S31" i="10"/>
  <c r="O31" i="10"/>
  <c r="F31" i="10"/>
  <c r="I32" i="2"/>
  <c r="H20" i="10" s="1"/>
  <c r="C65" i="2"/>
  <c r="C57" i="2"/>
  <c r="C50" i="2"/>
  <c r="C33" i="2"/>
  <c r="C23" i="2"/>
  <c r="I20" i="14" l="1"/>
  <c r="Q15" i="13"/>
  <c r="G15" i="13"/>
  <c r="Q19" i="13"/>
  <c r="G19" i="13"/>
  <c r="Q16" i="13"/>
  <c r="G16" i="13"/>
  <c r="I14" i="13"/>
  <c r="G14" i="14"/>
  <c r="N14" i="14" s="1"/>
  <c r="I18" i="14"/>
  <c r="I19" i="14"/>
  <c r="G18" i="14"/>
  <c r="N18" i="14" s="1"/>
  <c r="G15" i="10"/>
  <c r="N15" i="10" s="1"/>
  <c r="G20" i="14"/>
  <c r="N20" i="14" s="1"/>
  <c r="G14" i="13"/>
  <c r="G13" i="10"/>
  <c r="N13" i="10" s="1"/>
  <c r="I15" i="14"/>
  <c r="Q20" i="14"/>
  <c r="I13" i="14"/>
  <c r="G17" i="14"/>
  <c r="N17" i="14" s="1"/>
  <c r="I17" i="14"/>
  <c r="I22" i="13"/>
  <c r="I20" i="13"/>
  <c r="I21" i="13"/>
  <c r="Q28" i="10"/>
  <c r="G28" i="10"/>
  <c r="N28" i="10" s="1"/>
  <c r="Q25" i="10"/>
  <c r="G25" i="10"/>
  <c r="N25" i="10" s="1"/>
  <c r="Q27" i="10"/>
  <c r="G27" i="10"/>
  <c r="N27" i="10" s="1"/>
  <c r="Q20" i="10"/>
  <c r="G20" i="10"/>
  <c r="N20" i="10" s="1"/>
  <c r="Q21" i="10"/>
  <c r="G21" i="10"/>
  <c r="N21" i="10" s="1"/>
  <c r="Q30" i="10"/>
  <c r="G30" i="10"/>
  <c r="N30" i="10" s="1"/>
  <c r="Q18" i="10"/>
  <c r="G18" i="10"/>
  <c r="N18" i="10" s="1"/>
  <c r="Q18" i="13"/>
  <c r="G18" i="13"/>
  <c r="Q27" i="13"/>
  <c r="G27" i="13"/>
  <c r="N27" i="13" s="1"/>
  <c r="Q20" i="13"/>
  <c r="G20" i="13"/>
  <c r="N20" i="13" s="1"/>
  <c r="Q22" i="13"/>
  <c r="G22" i="13"/>
  <c r="G26" i="13"/>
  <c r="N26" i="13" s="1"/>
  <c r="Q31" i="10"/>
  <c r="G31" i="10"/>
  <c r="N31" i="10" s="1"/>
  <c r="Q26" i="10"/>
  <c r="G26" i="10"/>
  <c r="N26" i="10" s="1"/>
  <c r="Q29" i="10"/>
  <c r="G29" i="10"/>
  <c r="N29" i="10" s="1"/>
  <c r="Q23" i="10"/>
  <c r="G23" i="10"/>
  <c r="N23" i="10" s="1"/>
  <c r="Q19" i="10"/>
  <c r="G19" i="10"/>
  <c r="N19" i="10" s="1"/>
  <c r="Q17" i="10"/>
  <c r="G17" i="10"/>
  <c r="N17" i="10" s="1"/>
  <c r="Q22" i="10"/>
  <c r="G22" i="10"/>
  <c r="N22" i="10" s="1"/>
  <c r="T23" i="13"/>
  <c r="T28" i="13" s="1"/>
  <c r="G23" i="13"/>
  <c r="N23" i="13" s="1"/>
  <c r="I23" i="13"/>
  <c r="Q25" i="13"/>
  <c r="G25" i="13"/>
  <c r="N25" i="13" s="1"/>
  <c r="I18" i="13"/>
  <c r="I24" i="13"/>
  <c r="Q17" i="13"/>
  <c r="G17" i="13"/>
  <c r="I17" i="13"/>
  <c r="Q24" i="13"/>
  <c r="G24" i="13"/>
  <c r="N24" i="13" s="1"/>
  <c r="I13" i="13"/>
  <c r="Q16" i="10"/>
  <c r="G16" i="10"/>
  <c r="N16" i="10" s="1"/>
  <c r="Q21" i="13"/>
  <c r="G21" i="13"/>
  <c r="G16" i="14"/>
  <c r="I16" i="14"/>
  <c r="G24" i="10"/>
  <c r="N24" i="10" s="1"/>
  <c r="G15" i="14"/>
  <c r="N15" i="14" s="1"/>
  <c r="G13" i="14"/>
  <c r="Q14" i="14"/>
  <c r="I21" i="14"/>
  <c r="Q15" i="14"/>
  <c r="Q16" i="14"/>
  <c r="G22" i="14"/>
  <c r="Q22" i="14"/>
  <c r="I22" i="14"/>
  <c r="G19" i="14"/>
  <c r="Q17" i="14"/>
  <c r="I14" i="14"/>
  <c r="Q21" i="14"/>
  <c r="G21" i="14"/>
  <c r="N21" i="14" s="1"/>
  <c r="R23" i="14"/>
  <c r="T23" i="14"/>
  <c r="O23" i="14"/>
  <c r="G13" i="13"/>
  <c r="Q13" i="13"/>
  <c r="Q14" i="13"/>
  <c r="O28" i="13"/>
  <c r="R28" i="13"/>
  <c r="O32" i="10"/>
  <c r="T32" i="10"/>
  <c r="I14" i="10"/>
  <c r="Q13" i="10"/>
  <c r="R32" i="10"/>
  <c r="G14" i="10"/>
  <c r="N14" i="10" s="1"/>
  <c r="I15" i="10"/>
  <c r="Q15" i="10"/>
  <c r="O27" i="6"/>
  <c r="S11" i="6"/>
  <c r="P11" i="6"/>
  <c r="R10" i="6"/>
  <c r="O10" i="6"/>
  <c r="D25" i="5"/>
  <c r="H17" i="5"/>
  <c r="I14" i="5"/>
  <c r="H14" i="5"/>
  <c r="I11" i="5"/>
  <c r="H11" i="5"/>
  <c r="D18" i="5" s="1"/>
  <c r="G11" i="5"/>
  <c r="D19" i="5" s="1"/>
  <c r="F11" i="5"/>
  <c r="D17" i="5" s="1"/>
  <c r="E11" i="5"/>
  <c r="D16" i="5" s="1"/>
  <c r="F16" i="5" s="1"/>
  <c r="D11" i="5"/>
  <c r="D15" i="5" s="1"/>
  <c r="F15" i="5" s="1"/>
  <c r="C10" i="5"/>
  <c r="J10" i="5" s="1"/>
  <c r="C9" i="5"/>
  <c r="J9" i="5" s="1"/>
  <c r="C8" i="5"/>
  <c r="J8" i="5" s="1"/>
  <c r="C7" i="5"/>
  <c r="J7" i="5" s="1"/>
  <c r="C7" i="4"/>
  <c r="C8" i="4" s="1"/>
  <c r="C9" i="4" s="1"/>
  <c r="C10" i="4" s="1"/>
  <c r="C11" i="4" s="1"/>
  <c r="E8" i="3"/>
  <c r="E5" i="3"/>
  <c r="AW88" i="2"/>
  <c r="AR88" i="2"/>
  <c r="AM88" i="2"/>
  <c r="AH88" i="2"/>
  <c r="AC88" i="2"/>
  <c r="X88" i="2"/>
  <c r="T88" i="2"/>
  <c r="P88" i="2"/>
  <c r="AW85" i="2"/>
  <c r="AR85" i="2"/>
  <c r="T85" i="2"/>
  <c r="P85" i="2"/>
  <c r="T84" i="2"/>
  <c r="P84" i="2"/>
  <c r="AW83" i="2"/>
  <c r="AR83" i="2"/>
  <c r="AM83" i="2"/>
  <c r="AH83" i="2"/>
  <c r="AC83" i="2"/>
  <c r="X83" i="2"/>
  <c r="T83" i="2"/>
  <c r="P83" i="2"/>
  <c r="AW82" i="2"/>
  <c r="AR82" i="2"/>
  <c r="AM82" i="2"/>
  <c r="AH82" i="2"/>
  <c r="AC82" i="2"/>
  <c r="X82" i="2"/>
  <c r="T82" i="2"/>
  <c r="P82" i="2"/>
  <c r="AW81" i="2"/>
  <c r="AR81" i="2"/>
  <c r="AM81" i="2"/>
  <c r="AH81" i="2"/>
  <c r="AC81" i="2"/>
  <c r="X81" i="2"/>
  <c r="T81" i="2"/>
  <c r="P81" i="2"/>
  <c r="AW80" i="2"/>
  <c r="AR80" i="2"/>
  <c r="AM80" i="2"/>
  <c r="AH80" i="2"/>
  <c r="AC80" i="2"/>
  <c r="X80" i="2"/>
  <c r="T80" i="2"/>
  <c r="P80" i="2"/>
  <c r="AW79" i="2"/>
  <c r="AR79" i="2"/>
  <c r="AM79" i="2"/>
  <c r="AH79" i="2"/>
  <c r="AC79" i="2"/>
  <c r="X79" i="2"/>
  <c r="T79" i="2"/>
  <c r="P79" i="2"/>
  <c r="H72" i="2"/>
  <c r="F71" i="2"/>
  <c r="E71" i="2"/>
  <c r="D71" i="2"/>
  <c r="O70" i="2"/>
  <c r="H70" i="2"/>
  <c r="O69" i="2"/>
  <c r="M69" i="2"/>
  <c r="H69" i="2"/>
  <c r="O68" i="2"/>
  <c r="H68" i="2"/>
  <c r="O67" i="2"/>
  <c r="H67" i="2"/>
  <c r="O66" i="2"/>
  <c r="M66" i="2"/>
  <c r="L66" i="2"/>
  <c r="L65" i="2" s="1"/>
  <c r="J66" i="2"/>
  <c r="J65" i="2" s="1"/>
  <c r="H66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N65" i="2"/>
  <c r="K65" i="2"/>
  <c r="G65" i="2"/>
  <c r="O64" i="2"/>
  <c r="M64" i="2"/>
  <c r="H64" i="2"/>
  <c r="O63" i="2"/>
  <c r="H63" i="2"/>
  <c r="O62" i="2"/>
  <c r="H62" i="2"/>
  <c r="O61" i="2"/>
  <c r="M61" i="2"/>
  <c r="L61" i="2"/>
  <c r="K61" i="2"/>
  <c r="J61" i="2"/>
  <c r="H61" i="2"/>
  <c r="O60" i="2"/>
  <c r="M60" i="2"/>
  <c r="L60" i="2"/>
  <c r="J60" i="2"/>
  <c r="H60" i="2"/>
  <c r="O59" i="2"/>
  <c r="M59" i="2"/>
  <c r="L59" i="2"/>
  <c r="K59" i="2"/>
  <c r="K16" i="14" s="1"/>
  <c r="J59" i="2"/>
  <c r="H59" i="2"/>
  <c r="O58" i="2"/>
  <c r="M58" i="2"/>
  <c r="L58" i="2"/>
  <c r="K58" i="2"/>
  <c r="K23" i="13" s="1"/>
  <c r="J58" i="2"/>
  <c r="H58" i="2"/>
  <c r="BA57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N57" i="2"/>
  <c r="G57" i="2"/>
  <c r="O56" i="2"/>
  <c r="M56" i="2"/>
  <c r="H56" i="2"/>
  <c r="O55" i="2"/>
  <c r="H55" i="2"/>
  <c r="O54" i="2"/>
  <c r="H54" i="2"/>
  <c r="O53" i="2"/>
  <c r="M53" i="2"/>
  <c r="L53" i="2"/>
  <c r="K22" i="13"/>
  <c r="J53" i="2"/>
  <c r="H53" i="2"/>
  <c r="M52" i="2"/>
  <c r="L52" i="2"/>
  <c r="K52" i="2"/>
  <c r="K21" i="13" s="1"/>
  <c r="J52" i="2"/>
  <c r="H52" i="2"/>
  <c r="O51" i="2"/>
  <c r="M51" i="2"/>
  <c r="L51" i="2"/>
  <c r="K51" i="2"/>
  <c r="K31" i="10" s="1"/>
  <c r="J51" i="2"/>
  <c r="I31" i="10" s="1"/>
  <c r="H51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N50" i="2"/>
  <c r="G50" i="2"/>
  <c r="F49" i="2"/>
  <c r="E49" i="2"/>
  <c r="D49" i="2"/>
  <c r="O48" i="2"/>
  <c r="M48" i="2"/>
  <c r="L48" i="2"/>
  <c r="J48" i="2"/>
  <c r="H48" i="2"/>
  <c r="O47" i="2"/>
  <c r="M47" i="2"/>
  <c r="L47" i="2"/>
  <c r="J47" i="2"/>
  <c r="I30" i="10" s="1"/>
  <c r="H47" i="2"/>
  <c r="O46" i="2"/>
  <c r="M46" i="2"/>
  <c r="L46" i="2"/>
  <c r="J46" i="2"/>
  <c r="H46" i="2"/>
  <c r="O45" i="2"/>
  <c r="M45" i="2"/>
  <c r="L45" i="2"/>
  <c r="J45" i="2"/>
  <c r="H45" i="2"/>
  <c r="O44" i="2"/>
  <c r="M44" i="2"/>
  <c r="L44" i="2"/>
  <c r="J44" i="2"/>
  <c r="I29" i="10" s="1"/>
  <c r="H44" i="2"/>
  <c r="O43" i="2"/>
  <c r="M43" i="2"/>
  <c r="L43" i="2"/>
  <c r="J43" i="2"/>
  <c r="H43" i="2"/>
  <c r="O42" i="2"/>
  <c r="M42" i="2"/>
  <c r="L42" i="2"/>
  <c r="J42" i="2"/>
  <c r="H42" i="2"/>
  <c r="O41" i="2"/>
  <c r="M41" i="2"/>
  <c r="L41" i="2"/>
  <c r="J41" i="2"/>
  <c r="I28" i="10" s="1"/>
  <c r="H41" i="2"/>
  <c r="O40" i="2"/>
  <c r="M40" i="2"/>
  <c r="L40" i="2"/>
  <c r="J40" i="2"/>
  <c r="I27" i="10" s="1"/>
  <c r="H40" i="2"/>
  <c r="O39" i="2"/>
  <c r="M39" i="2"/>
  <c r="L39" i="2"/>
  <c r="J39" i="2"/>
  <c r="I26" i="10" s="1"/>
  <c r="H39" i="2"/>
  <c r="O38" i="2"/>
  <c r="M38" i="2"/>
  <c r="L38" i="2"/>
  <c r="J38" i="2"/>
  <c r="I25" i="10" s="1"/>
  <c r="H38" i="2"/>
  <c r="O37" i="2"/>
  <c r="M37" i="2"/>
  <c r="L37" i="2"/>
  <c r="J37" i="2"/>
  <c r="I24" i="10" s="1"/>
  <c r="H37" i="2"/>
  <c r="O36" i="2"/>
  <c r="M36" i="2"/>
  <c r="L36" i="2"/>
  <c r="J36" i="2"/>
  <c r="I23" i="10" s="1"/>
  <c r="H36" i="2"/>
  <c r="O35" i="2"/>
  <c r="M35" i="2"/>
  <c r="L35" i="2"/>
  <c r="J35" i="2"/>
  <c r="I22" i="10" s="1"/>
  <c r="H35" i="2"/>
  <c r="O34" i="2"/>
  <c r="M34" i="2"/>
  <c r="L34" i="2"/>
  <c r="J34" i="2"/>
  <c r="I21" i="10" s="1"/>
  <c r="H34" i="2"/>
  <c r="BA33" i="2"/>
  <c r="AZ33" i="2"/>
  <c r="AZ49" i="2" s="1"/>
  <c r="AY33" i="2"/>
  <c r="AY49" i="2" s="1"/>
  <c r="AX33" i="2"/>
  <c r="AX49" i="2" s="1"/>
  <c r="AW33" i="2"/>
  <c r="AW49" i="2" s="1"/>
  <c r="AV33" i="2"/>
  <c r="AV49" i="2" s="1"/>
  <c r="AU33" i="2"/>
  <c r="AU49" i="2" s="1"/>
  <c r="AT33" i="2"/>
  <c r="AT49" i="2" s="1"/>
  <c r="AS33" i="2"/>
  <c r="AS49" i="2" s="1"/>
  <c r="AR33" i="2"/>
  <c r="AR49" i="2" s="1"/>
  <c r="AQ33" i="2"/>
  <c r="AQ49" i="2" s="1"/>
  <c r="AP33" i="2"/>
  <c r="AP49" i="2" s="1"/>
  <c r="AO33" i="2"/>
  <c r="AO49" i="2" s="1"/>
  <c r="AN33" i="2"/>
  <c r="AN49" i="2" s="1"/>
  <c r="AM33" i="2"/>
  <c r="AM49" i="2" s="1"/>
  <c r="AL33" i="2"/>
  <c r="AL49" i="2" s="1"/>
  <c r="AK33" i="2"/>
  <c r="AK49" i="2" s="1"/>
  <c r="AJ33" i="2"/>
  <c r="AJ49" i="2" s="1"/>
  <c r="AI33" i="2"/>
  <c r="AI49" i="2" s="1"/>
  <c r="AH33" i="2"/>
  <c r="AH49" i="2" s="1"/>
  <c r="AG33" i="2"/>
  <c r="AG49" i="2" s="1"/>
  <c r="AF33" i="2"/>
  <c r="AF49" i="2" s="1"/>
  <c r="AE33" i="2"/>
  <c r="AE49" i="2" s="1"/>
  <c r="AD33" i="2"/>
  <c r="AC33" i="2"/>
  <c r="AC49" i="2" s="1"/>
  <c r="AB33" i="2"/>
  <c r="AB49" i="2" s="1"/>
  <c r="AA33" i="2"/>
  <c r="Z33" i="2"/>
  <c r="Z49" i="2" s="1"/>
  <c r="Y33" i="2"/>
  <c r="Y49" i="2" s="1"/>
  <c r="X33" i="2"/>
  <c r="X49" i="2" s="1"/>
  <c r="W33" i="2"/>
  <c r="W49" i="2" s="1"/>
  <c r="V33" i="2"/>
  <c r="V49" i="2" s="1"/>
  <c r="U33" i="2"/>
  <c r="U49" i="2" s="1"/>
  <c r="T33" i="2"/>
  <c r="T49" i="2" s="1"/>
  <c r="S33" i="2"/>
  <c r="R33" i="2"/>
  <c r="R49" i="2" s="1"/>
  <c r="Q33" i="2"/>
  <c r="Q49" i="2" s="1"/>
  <c r="P33" i="2"/>
  <c r="P49" i="2" s="1"/>
  <c r="N33" i="2"/>
  <c r="N49" i="2" s="1"/>
  <c r="K33" i="2"/>
  <c r="K49" i="2" s="1"/>
  <c r="G33" i="2"/>
  <c r="O31" i="2"/>
  <c r="M31" i="2"/>
  <c r="L31" i="2"/>
  <c r="J31" i="2"/>
  <c r="H31" i="2"/>
  <c r="O30" i="2"/>
  <c r="M30" i="2"/>
  <c r="L30" i="2"/>
  <c r="J30" i="2"/>
  <c r="I19" i="10" s="1"/>
  <c r="H30" i="2"/>
  <c r="O29" i="2"/>
  <c r="M29" i="2"/>
  <c r="L29" i="2"/>
  <c r="J29" i="2"/>
  <c r="I18" i="10" s="1"/>
  <c r="H29" i="2"/>
  <c r="O28" i="2"/>
  <c r="M28" i="2"/>
  <c r="L28" i="2"/>
  <c r="J28" i="2"/>
  <c r="I17" i="10" s="1"/>
  <c r="H28" i="2"/>
  <c r="O27" i="2"/>
  <c r="M27" i="2"/>
  <c r="L27" i="2"/>
  <c r="J27" i="2"/>
  <c r="I16" i="10" s="1"/>
  <c r="H27" i="2"/>
  <c r="O26" i="2"/>
  <c r="M26" i="2"/>
  <c r="L26" i="2"/>
  <c r="J26" i="2"/>
  <c r="H26" i="2"/>
  <c r="O25" i="2"/>
  <c r="M25" i="2"/>
  <c r="L25" i="2"/>
  <c r="J25" i="2"/>
  <c r="H25" i="2"/>
  <c r="O24" i="2"/>
  <c r="M24" i="2"/>
  <c r="L24" i="2"/>
  <c r="J24" i="2"/>
  <c r="I13" i="10" s="1"/>
  <c r="H24" i="2"/>
  <c r="BA49" i="2"/>
  <c r="AA49" i="2"/>
  <c r="S49" i="2"/>
  <c r="M22" i="2"/>
  <c r="J22" i="2"/>
  <c r="I26" i="6" s="1"/>
  <c r="H22" i="2"/>
  <c r="M21" i="2"/>
  <c r="J21" i="2"/>
  <c r="I25" i="6" s="1"/>
  <c r="H21" i="2"/>
  <c r="M20" i="2"/>
  <c r="J20" i="2"/>
  <c r="I24" i="6" s="1"/>
  <c r="H20" i="2"/>
  <c r="M19" i="2"/>
  <c r="J19" i="2"/>
  <c r="I23" i="6" s="1"/>
  <c r="H19" i="2"/>
  <c r="M18" i="2"/>
  <c r="J18" i="2"/>
  <c r="I22" i="6" s="1"/>
  <c r="H18" i="2"/>
  <c r="M17" i="2"/>
  <c r="J17" i="2"/>
  <c r="I21" i="6" s="1"/>
  <c r="H17" i="2"/>
  <c r="M16" i="2"/>
  <c r="J16" i="2"/>
  <c r="I20" i="6" s="1"/>
  <c r="H16" i="2"/>
  <c r="M15" i="2"/>
  <c r="J15" i="2"/>
  <c r="I19" i="6" s="1"/>
  <c r="H15" i="2"/>
  <c r="I15" i="2" s="1"/>
  <c r="H19" i="6" s="1"/>
  <c r="M14" i="2"/>
  <c r="J14" i="2"/>
  <c r="I18" i="6" s="1"/>
  <c r="H14" i="2"/>
  <c r="M13" i="2"/>
  <c r="J13" i="2"/>
  <c r="I17" i="6" s="1"/>
  <c r="H13" i="2"/>
  <c r="I13" i="2" s="1"/>
  <c r="H17" i="6" s="1"/>
  <c r="M12" i="2"/>
  <c r="J12" i="2"/>
  <c r="I16" i="6" s="1"/>
  <c r="H12" i="2"/>
  <c r="M11" i="2"/>
  <c r="J11" i="2"/>
  <c r="I15" i="6" s="1"/>
  <c r="H11" i="2"/>
  <c r="M10" i="2"/>
  <c r="J10" i="2"/>
  <c r="I14" i="6" s="1"/>
  <c r="H10" i="2"/>
  <c r="M9" i="2"/>
  <c r="J9" i="2"/>
  <c r="I13" i="6" s="1"/>
  <c r="H9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L8" i="2"/>
  <c r="K8" i="2"/>
  <c r="G8" i="2"/>
  <c r="H22" i="5" s="1"/>
  <c r="F8" i="2"/>
  <c r="E8" i="2"/>
  <c r="D8" i="2"/>
  <c r="I19" i="2" l="1"/>
  <c r="H23" i="6" s="1"/>
  <c r="I11" i="2"/>
  <c r="H15" i="6" s="1"/>
  <c r="I9" i="2"/>
  <c r="H13" i="6" s="1"/>
  <c r="I35" i="2"/>
  <c r="H22" i="10" s="1"/>
  <c r="I37" i="2"/>
  <c r="H24" i="10" s="1"/>
  <c r="I47" i="2"/>
  <c r="H30" i="10" s="1"/>
  <c r="K50" i="2"/>
  <c r="M50" i="2"/>
  <c r="I52" i="2"/>
  <c r="I66" i="2"/>
  <c r="I65" i="2" s="1"/>
  <c r="N15" i="13"/>
  <c r="H15" i="13"/>
  <c r="N19" i="13"/>
  <c r="H19" i="13"/>
  <c r="N16" i="13"/>
  <c r="H16" i="13"/>
  <c r="AH71" i="2"/>
  <c r="J57" i="2"/>
  <c r="L57" i="2"/>
  <c r="I41" i="2"/>
  <c r="H28" i="10" s="1"/>
  <c r="H20" i="14"/>
  <c r="H14" i="13"/>
  <c r="H14" i="14"/>
  <c r="H15" i="14"/>
  <c r="N14" i="13"/>
  <c r="C8" i="2"/>
  <c r="I45" i="2"/>
  <c r="J33" i="2"/>
  <c r="L33" i="2"/>
  <c r="K17" i="14"/>
  <c r="H17" i="14" s="1"/>
  <c r="C71" i="2"/>
  <c r="I61" i="2"/>
  <c r="AJ71" i="2"/>
  <c r="H57" i="2"/>
  <c r="K18" i="14"/>
  <c r="H18" i="14" s="1"/>
  <c r="I43" i="2"/>
  <c r="M65" i="2"/>
  <c r="O65" i="2"/>
  <c r="H21" i="13"/>
  <c r="N21" i="13"/>
  <c r="H17" i="13"/>
  <c r="Q28" i="13"/>
  <c r="H20" i="13"/>
  <c r="N16" i="14"/>
  <c r="H16" i="14"/>
  <c r="H22" i="13"/>
  <c r="N22" i="13"/>
  <c r="G28" i="13"/>
  <c r="H18" i="13"/>
  <c r="N18" i="13"/>
  <c r="N17" i="13"/>
  <c r="N13" i="13"/>
  <c r="H13" i="13"/>
  <c r="H24" i="13"/>
  <c r="H23" i="13"/>
  <c r="N22" i="14"/>
  <c r="H22" i="14"/>
  <c r="H13" i="14"/>
  <c r="N13" i="14"/>
  <c r="N19" i="14"/>
  <c r="H19" i="14"/>
  <c r="H21" i="14"/>
  <c r="Q23" i="14"/>
  <c r="G23" i="14"/>
  <c r="G32" i="10"/>
  <c r="Q32" i="10"/>
  <c r="N32" i="10"/>
  <c r="Q23" i="6"/>
  <c r="Q25" i="6"/>
  <c r="Q24" i="6"/>
  <c r="Q20" i="6"/>
  <c r="Q19" i="6"/>
  <c r="Q15" i="6"/>
  <c r="Q17" i="6"/>
  <c r="Q16" i="6"/>
  <c r="Q21" i="6"/>
  <c r="Q26" i="6"/>
  <c r="Q14" i="6"/>
  <c r="Q18" i="6"/>
  <c r="Q22" i="6"/>
  <c r="T16" i="6"/>
  <c r="T26" i="6"/>
  <c r="T14" i="6"/>
  <c r="T23" i="6"/>
  <c r="T19" i="6"/>
  <c r="T25" i="6"/>
  <c r="T17" i="6"/>
  <c r="T22" i="6"/>
  <c r="T18" i="6"/>
  <c r="T21" i="6"/>
  <c r="T15" i="6"/>
  <c r="T20" i="6"/>
  <c r="T24" i="6"/>
  <c r="AL71" i="2"/>
  <c r="AL73" i="2" s="1"/>
  <c r="AL74" i="2" s="1"/>
  <c r="N71" i="2"/>
  <c r="N73" i="2" s="1"/>
  <c r="N74" i="2" s="1"/>
  <c r="AP71" i="2"/>
  <c r="AP73" i="2" s="1"/>
  <c r="AP74" i="2" s="1"/>
  <c r="H65" i="2"/>
  <c r="M23" i="2"/>
  <c r="AN71" i="2"/>
  <c r="AN73" i="2" s="1"/>
  <c r="AN74" i="2" s="1"/>
  <c r="H23" i="2"/>
  <c r="T71" i="2"/>
  <c r="T73" i="2" s="1"/>
  <c r="T74" i="2" s="1"/>
  <c r="T87" i="2" s="1"/>
  <c r="L23" i="2"/>
  <c r="L49" i="2" s="1"/>
  <c r="AV71" i="2"/>
  <c r="AV73" i="2" s="1"/>
  <c r="AV74" i="2" s="1"/>
  <c r="O33" i="2"/>
  <c r="G71" i="2"/>
  <c r="M8" i="2"/>
  <c r="P71" i="2"/>
  <c r="P73" i="2" s="1"/>
  <c r="P74" i="2" s="1"/>
  <c r="P87" i="2" s="1"/>
  <c r="R71" i="2"/>
  <c r="R73" i="2" s="1"/>
  <c r="R74" i="2" s="1"/>
  <c r="AT71" i="2"/>
  <c r="AT73" i="2" s="1"/>
  <c r="AT74" i="2" s="1"/>
  <c r="O23" i="2"/>
  <c r="X71" i="2"/>
  <c r="X73" i="2" s="1"/>
  <c r="X74" i="2" s="1"/>
  <c r="I39" i="2"/>
  <c r="H26" i="10" s="1"/>
  <c r="Z71" i="2"/>
  <c r="Z73" i="2" s="1"/>
  <c r="Z74" i="2" s="1"/>
  <c r="AX71" i="2"/>
  <c r="AX73" i="2" s="1"/>
  <c r="AX74" i="2" s="1"/>
  <c r="AB71" i="2"/>
  <c r="AZ71" i="2"/>
  <c r="AZ73" i="2" s="1"/>
  <c r="AZ74" i="2" s="1"/>
  <c r="AD71" i="2"/>
  <c r="AF71" i="2"/>
  <c r="AF73" i="2" s="1"/>
  <c r="AF74" i="2" s="1"/>
  <c r="J23" i="2"/>
  <c r="AR71" i="2"/>
  <c r="AR73" i="2" s="1"/>
  <c r="AR74" i="2" s="1"/>
  <c r="AR87" i="2" s="1"/>
  <c r="V71" i="2"/>
  <c r="V73" i="2" s="1"/>
  <c r="V74" i="2" s="1"/>
  <c r="M33" i="2"/>
  <c r="C49" i="2"/>
  <c r="I59" i="2"/>
  <c r="N27" i="6"/>
  <c r="I17" i="2"/>
  <c r="H21" i="6" s="1"/>
  <c r="J8" i="2"/>
  <c r="I21" i="2"/>
  <c r="H25" i="6" s="1"/>
  <c r="G49" i="2"/>
  <c r="I51" i="2"/>
  <c r="H31" i="10" s="1"/>
  <c r="J50" i="2"/>
  <c r="J71" i="2" s="1"/>
  <c r="L50" i="2"/>
  <c r="L71" i="2" s="1"/>
  <c r="O57" i="2"/>
  <c r="K57" i="2"/>
  <c r="K71" i="2" s="1"/>
  <c r="K73" i="2" s="1"/>
  <c r="K74" i="2" s="1"/>
  <c r="M57" i="2"/>
  <c r="M71" i="2" s="1"/>
  <c r="I60" i="2"/>
  <c r="E73" i="2"/>
  <c r="E74" i="2" s="1"/>
  <c r="I25" i="2"/>
  <c r="H14" i="10" s="1"/>
  <c r="I27" i="2"/>
  <c r="H16" i="10" s="1"/>
  <c r="I29" i="2"/>
  <c r="H18" i="10" s="1"/>
  <c r="I31" i="2"/>
  <c r="H33" i="2"/>
  <c r="I34" i="2"/>
  <c r="H21" i="10" s="1"/>
  <c r="I36" i="2"/>
  <c r="H23" i="10" s="1"/>
  <c r="I38" i="2"/>
  <c r="H25" i="10" s="1"/>
  <c r="I40" i="2"/>
  <c r="H27" i="10" s="1"/>
  <c r="I42" i="2"/>
  <c r="I46" i="2"/>
  <c r="I48" i="2"/>
  <c r="S71" i="2"/>
  <c r="S73" i="2" s="1"/>
  <c r="S74" i="2" s="1"/>
  <c r="W71" i="2"/>
  <c r="W73" i="2" s="1"/>
  <c r="W74" i="2" s="1"/>
  <c r="AA71" i="2"/>
  <c r="AA73" i="2" s="1"/>
  <c r="AA74" i="2" s="1"/>
  <c r="AE71" i="2"/>
  <c r="AE73" i="2" s="1"/>
  <c r="AE74" i="2" s="1"/>
  <c r="AI71" i="2"/>
  <c r="AI73" i="2" s="1"/>
  <c r="AI74" i="2" s="1"/>
  <c r="AM71" i="2"/>
  <c r="AM73" i="2" s="1"/>
  <c r="AM74" i="2" s="1"/>
  <c r="AM87" i="2" s="1"/>
  <c r="AQ71" i="2"/>
  <c r="AQ73" i="2" s="1"/>
  <c r="AQ74" i="2" s="1"/>
  <c r="AU71" i="2"/>
  <c r="AU73" i="2" s="1"/>
  <c r="AU74" i="2" s="1"/>
  <c r="AY71" i="2"/>
  <c r="AY73" i="2" s="1"/>
  <c r="AY74" i="2" s="1"/>
  <c r="I44" i="2"/>
  <c r="H29" i="10" s="1"/>
  <c r="AD49" i="2"/>
  <c r="H8" i="2"/>
  <c r="I10" i="2"/>
  <c r="H14" i="6" s="1"/>
  <c r="I12" i="2"/>
  <c r="H16" i="6" s="1"/>
  <c r="I14" i="2"/>
  <c r="H18" i="6" s="1"/>
  <c r="I16" i="2"/>
  <c r="H20" i="6" s="1"/>
  <c r="I18" i="2"/>
  <c r="H22" i="6" s="1"/>
  <c r="I20" i="2"/>
  <c r="H24" i="6" s="1"/>
  <c r="I22" i="2"/>
  <c r="I24" i="2"/>
  <c r="H13" i="10" s="1"/>
  <c r="I26" i="2"/>
  <c r="H15" i="10" s="1"/>
  <c r="I28" i="2"/>
  <c r="H17" i="10" s="1"/>
  <c r="I30" i="2"/>
  <c r="H19" i="10" s="1"/>
  <c r="Q13" i="6"/>
  <c r="AB73" i="2"/>
  <c r="AB74" i="2" s="1"/>
  <c r="AH73" i="2"/>
  <c r="AH74" i="2" s="1"/>
  <c r="AH87" i="2" s="1"/>
  <c r="AJ73" i="2"/>
  <c r="AJ74" i="2" s="1"/>
  <c r="E13" i="5"/>
  <c r="H50" i="2"/>
  <c r="Q71" i="2"/>
  <c r="Q73" i="2" s="1"/>
  <c r="Q74" i="2" s="1"/>
  <c r="U71" i="2"/>
  <c r="U73" i="2" s="1"/>
  <c r="U74" i="2" s="1"/>
  <c r="Y71" i="2"/>
  <c r="Y73" i="2" s="1"/>
  <c r="Y74" i="2" s="1"/>
  <c r="AC71" i="2"/>
  <c r="AC73" i="2" s="1"/>
  <c r="AC74" i="2" s="1"/>
  <c r="AC87" i="2" s="1"/>
  <c r="AG71" i="2"/>
  <c r="AG73" i="2" s="1"/>
  <c r="AG74" i="2" s="1"/>
  <c r="AK71" i="2"/>
  <c r="AK73" i="2" s="1"/>
  <c r="AK74" i="2" s="1"/>
  <c r="AO71" i="2"/>
  <c r="AO73" i="2" s="1"/>
  <c r="AO74" i="2" s="1"/>
  <c r="AS71" i="2"/>
  <c r="AS73" i="2" s="1"/>
  <c r="AS74" i="2" s="1"/>
  <c r="AW71" i="2"/>
  <c r="AW73" i="2" s="1"/>
  <c r="AW74" i="2" s="1"/>
  <c r="AW87" i="2" s="1"/>
  <c r="BA71" i="2"/>
  <c r="BA73" i="2" s="1"/>
  <c r="BA74" i="2" s="1"/>
  <c r="O50" i="2"/>
  <c r="I53" i="2"/>
  <c r="I58" i="2"/>
  <c r="D73" i="2"/>
  <c r="F73" i="2"/>
  <c r="F74" i="2" s="1"/>
  <c r="J11" i="5"/>
  <c r="D13" i="5" s="1"/>
  <c r="C11" i="5"/>
  <c r="D14" i="5" s="1"/>
  <c r="H49" i="2" l="1"/>
  <c r="G73" i="2"/>
  <c r="J49" i="2"/>
  <c r="J73" i="2" s="1"/>
  <c r="J74" i="2" s="1"/>
  <c r="M49" i="2"/>
  <c r="L73" i="2"/>
  <c r="L74" i="2" s="1"/>
  <c r="O49" i="2"/>
  <c r="AH89" i="2"/>
  <c r="AD73" i="2"/>
  <c r="AD74" i="2" s="1"/>
  <c r="I33" i="2"/>
  <c r="I8" i="2"/>
  <c r="H26" i="6"/>
  <c r="N28" i="13"/>
  <c r="H71" i="2"/>
  <c r="H73" i="2" s="1"/>
  <c r="H74" i="2" s="1"/>
  <c r="AM89" i="2"/>
  <c r="N23" i="14"/>
  <c r="Q27" i="6"/>
  <c r="X87" i="2"/>
  <c r="X89" i="2"/>
  <c r="O71" i="2"/>
  <c r="D74" i="2"/>
  <c r="C74" i="2" s="1"/>
  <c r="C73" i="2"/>
  <c r="I50" i="2"/>
  <c r="AR89" i="2"/>
  <c r="I57" i="2"/>
  <c r="I23" i="2"/>
  <c r="I49" i="2" s="1"/>
  <c r="P89" i="2"/>
  <c r="T89" i="2"/>
  <c r="H21" i="5"/>
  <c r="H23" i="5" s="1"/>
  <c r="G74" i="2"/>
  <c r="M73" i="2"/>
  <c r="M74" i="2" s="1"/>
  <c r="R27" i="6"/>
  <c r="T13" i="6"/>
  <c r="T27" i="6" s="1"/>
  <c r="AW89" i="2"/>
  <c r="AC89" i="2"/>
  <c r="O73" i="2" l="1"/>
  <c r="O74" i="2" s="1"/>
  <c r="I71" i="2"/>
  <c r="I73" i="2" s="1"/>
  <c r="I74" i="2" s="1"/>
  <c r="G79" i="2"/>
</calcChain>
</file>

<file path=xl/sharedStrings.xml><?xml version="1.0" encoding="utf-8"?>
<sst xmlns="http://schemas.openxmlformats.org/spreadsheetml/2006/main" count="736" uniqueCount="433">
  <si>
    <t>Утверждаю:</t>
  </si>
  <si>
    <t xml:space="preserve">Директор ГАПОУ СО 
"Красноуфимский аграрный колледж" </t>
  </si>
  <si>
    <t>_____________________ С.В. Оношкин</t>
  </si>
  <si>
    <t>"01" сентября 2026 г.</t>
  </si>
  <si>
    <t>УЧЕБНЫЙ  ПЛАН</t>
  </si>
  <si>
    <t>основной профессиональной образовательной программы
среднего профессионального образования
государственного автономного профессионального образовательного учреждения 
Свердловской области "Красноуфимский аграрный колледж"
по специальности среднего профессионального образования
35.02.16 "Эксплуатация и ремонт сельскохозяйственной техники и оборудования"
по программе базовой подготовки</t>
  </si>
  <si>
    <t>Квалификация: техник-механик</t>
  </si>
  <si>
    <t>Форма обучения- очная</t>
  </si>
  <si>
    <t>Нормативный срок обучения - 3г.и 10мес.</t>
  </si>
  <si>
    <t>на базе основного общего образования</t>
  </si>
  <si>
    <t>профиль получаемого профессионального</t>
  </si>
  <si>
    <t>образования технологический</t>
  </si>
  <si>
    <t>III. УЧЕБНЫЙ ПЛАН</t>
  </si>
  <si>
    <t>Индекс</t>
  </si>
  <si>
    <t>Наименование циклов, дисциплин, профессиональных модулей, МДК, практик</t>
  </si>
  <si>
    <t>Формы промежуточно аттестации   Nз/Nдз/Nэ</t>
  </si>
  <si>
    <t>Распределение по семестрам</t>
  </si>
  <si>
    <t>Аудиторная учебная нагрузка во взаимодействии с преподавателем (час)</t>
  </si>
  <si>
    <t>зачет</t>
  </si>
  <si>
    <t>дифф. зачет</t>
  </si>
  <si>
    <t>экзамен</t>
  </si>
  <si>
    <t>Обьем образовательной нагрузки (часах)</t>
  </si>
  <si>
    <t>Всего занятий</t>
  </si>
  <si>
    <t>в том числе</t>
  </si>
  <si>
    <t>Объем ОП</t>
  </si>
  <si>
    <t>1 курс</t>
  </si>
  <si>
    <t>2  курс</t>
  </si>
  <si>
    <t>3 курс</t>
  </si>
  <si>
    <t>4 курс</t>
  </si>
  <si>
    <t>теоретическое обучение</t>
  </si>
  <si>
    <t>лабор.и практ. занятия</t>
  </si>
  <si>
    <t>курсовой проект (работа)</t>
  </si>
  <si>
    <t>Сам. работа</t>
  </si>
  <si>
    <t>Промежуточная аттестация</t>
  </si>
  <si>
    <t>Обяз. часть</t>
  </si>
  <si>
    <t>Вар. часть</t>
  </si>
  <si>
    <t>1 семестр</t>
  </si>
  <si>
    <t>2 семестр</t>
  </si>
  <si>
    <t>3 семестр</t>
  </si>
  <si>
    <t xml:space="preserve">4  семестр </t>
  </si>
  <si>
    <t>5 семестр</t>
  </si>
  <si>
    <t>6  семестр  (+2п/6н)</t>
  </si>
  <si>
    <t>7 семестр (+2п/11н)</t>
  </si>
  <si>
    <t>8  семестр (+3п/12н)</t>
  </si>
  <si>
    <t>ЛПЗ</t>
  </si>
  <si>
    <t>СР</t>
  </si>
  <si>
    <t>ПА</t>
  </si>
  <si>
    <t>КП (КР)</t>
  </si>
  <si>
    <t>О.00</t>
  </si>
  <si>
    <t>Общеобразовательный цикл</t>
  </si>
  <si>
    <t>ОД.01</t>
  </si>
  <si>
    <t xml:space="preserve">Русский язык </t>
  </si>
  <si>
    <t>Дз</t>
  </si>
  <si>
    <t>ОД.02</t>
  </si>
  <si>
    <t>Литература</t>
  </si>
  <si>
    <t>ОД.03</t>
  </si>
  <si>
    <t>История</t>
  </si>
  <si>
    <t>Э/Э</t>
  </si>
  <si>
    <t>ОД.04</t>
  </si>
  <si>
    <t>Обществознание</t>
  </si>
  <si>
    <t>ОД.05</t>
  </si>
  <si>
    <t>География</t>
  </si>
  <si>
    <t>ОД.06</t>
  </si>
  <si>
    <t>Иностранный язык</t>
  </si>
  <si>
    <t>ОД.07</t>
  </si>
  <si>
    <t>ОД.08</t>
  </si>
  <si>
    <t>ОД.09</t>
  </si>
  <si>
    <t>Физическая культура</t>
  </si>
  <si>
    <t>З/З</t>
  </si>
  <si>
    <t>ОД.10</t>
  </si>
  <si>
    <t>ОД.11</t>
  </si>
  <si>
    <t>ОД.12</t>
  </si>
  <si>
    <t>Химия</t>
  </si>
  <si>
    <t>ОД.13</t>
  </si>
  <si>
    <t>Биология</t>
  </si>
  <si>
    <t>ОД.14</t>
  </si>
  <si>
    <t>СГ.00</t>
  </si>
  <si>
    <t>Социально-гуманитарный цикл</t>
  </si>
  <si>
    <t>СГ.01</t>
  </si>
  <si>
    <t>История России</t>
  </si>
  <si>
    <t>СГ.02</t>
  </si>
  <si>
    <t>Иностранный язык в профессиональной деятельности</t>
  </si>
  <si>
    <t>-/З/-/Дз</t>
  </si>
  <si>
    <t>СГ.03</t>
  </si>
  <si>
    <t>СГ.04</t>
  </si>
  <si>
    <t>Безопасность жизнедеятельности</t>
  </si>
  <si>
    <t>СГ.05</t>
  </si>
  <si>
    <t>Основы финансовой грамотности</t>
  </si>
  <si>
    <t>СГ.06</t>
  </si>
  <si>
    <t>Психология общения</t>
  </si>
  <si>
    <t>СГ.07</t>
  </si>
  <si>
    <t>Информатика</t>
  </si>
  <si>
    <t>Э</t>
  </si>
  <si>
    <t>СГ.08</t>
  </si>
  <si>
    <t>Эффективное поведение на рынке труда</t>
  </si>
  <si>
    <t>ОП.00</t>
  </si>
  <si>
    <t>Общепрофессиональный цикл</t>
  </si>
  <si>
    <t>ОП.01</t>
  </si>
  <si>
    <t>Математические методы решения прикладных профессиональных задач</t>
  </si>
  <si>
    <t>ОП.02</t>
  </si>
  <si>
    <t>Экологические основы природопользования</t>
  </si>
  <si>
    <t>ОП.03</t>
  </si>
  <si>
    <t>Инженерная графика</t>
  </si>
  <si>
    <t>ОП.04</t>
  </si>
  <si>
    <t>Техническая механика</t>
  </si>
  <si>
    <t>ОП.05</t>
  </si>
  <si>
    <t>Материаловедение</t>
  </si>
  <si>
    <t>ОП.06</t>
  </si>
  <si>
    <t>Электротехника и электроника</t>
  </si>
  <si>
    <t>ОП.07</t>
  </si>
  <si>
    <t>Основы гидравлики и теплотехники</t>
  </si>
  <si>
    <t>ОП.08</t>
  </si>
  <si>
    <t>ОП.09</t>
  </si>
  <si>
    <t>ОП.10</t>
  </si>
  <si>
    <t>Информационные технологии в профессиональной деятельности</t>
  </si>
  <si>
    <t>ОП.11</t>
  </si>
  <si>
    <t>Основы взаимозаменяемости и технические измерения</t>
  </si>
  <si>
    <t>ОП.12</t>
  </si>
  <si>
    <t>Основы экономики, менеджмента и маркетинга</t>
  </si>
  <si>
    <t>ОП.13</t>
  </si>
  <si>
    <t>ОП.14</t>
  </si>
  <si>
    <t>Основы философии</t>
  </si>
  <si>
    <t>ОП.15</t>
  </si>
  <si>
    <t>Основы предпринимательской деятельности</t>
  </si>
  <si>
    <t>Всего I</t>
  </si>
  <si>
    <t>ПМ.01</t>
  </si>
  <si>
    <t>Эксплуатация сельскохозяйственной техники и оборудования</t>
  </si>
  <si>
    <t xml:space="preserve"> </t>
  </si>
  <si>
    <t>МДК.01.01</t>
  </si>
  <si>
    <t>Назначение, общее устройство, режимы работы тракторов, автомобилей, сельскохозяйственных машин и оборудования</t>
  </si>
  <si>
    <t>МДК.01.02</t>
  </si>
  <si>
    <t>Подготовка тракторов и сельскохозяйственных машин и механизмов к работе</t>
  </si>
  <si>
    <t>МДК.01.03</t>
  </si>
  <si>
    <t>Комплектование машинно-тракторных агрегатов для выполнения сельскохозяйственных работ</t>
  </si>
  <si>
    <t>УП.01</t>
  </si>
  <si>
    <t>Учебная практика</t>
  </si>
  <si>
    <t>ПП.01</t>
  </si>
  <si>
    <t>Производственная практика</t>
  </si>
  <si>
    <t>ПМ 01</t>
  </si>
  <si>
    <t>ПМ.02</t>
  </si>
  <si>
    <t>Ремонт сельскохозяйственной техники и оборудования</t>
  </si>
  <si>
    <t>МДК.02.01</t>
  </si>
  <si>
    <t>Система технического обслуживания и ремонта сельскохозяйственной техники и оборудования</t>
  </si>
  <si>
    <t>МДК.02.02</t>
  </si>
  <si>
    <t>Материально-техническое обеспечение технического обслуживания и ремонта сельскохозяйственной техники в организации</t>
  </si>
  <si>
    <t>МДК.02.03</t>
  </si>
  <si>
    <t>Технологические процессы ремонтного производства</t>
  </si>
  <si>
    <t>МДК.02.04</t>
  </si>
  <si>
    <t>Организация производства и управление на сельскохозяйственном предприятии</t>
  </si>
  <si>
    <t>УП.02</t>
  </si>
  <si>
    <t>ПП.02</t>
  </si>
  <si>
    <t>ПМ 02</t>
  </si>
  <si>
    <t>ПМ.03.</t>
  </si>
  <si>
    <t>МДК.03.01</t>
  </si>
  <si>
    <t>Освоение профессии рабочих 19205 Тракторист-машинист сельскохозяйственного производства</t>
  </si>
  <si>
    <t>УП.03</t>
  </si>
  <si>
    <t>ПП.03</t>
  </si>
  <si>
    <t>ПМ 03</t>
  </si>
  <si>
    <t>ПДП</t>
  </si>
  <si>
    <t>Производственная практика (преддипломная)</t>
  </si>
  <si>
    <t>Всего II</t>
  </si>
  <si>
    <t>ГИА.00</t>
  </si>
  <si>
    <t>Государственая итоговая аттестация</t>
  </si>
  <si>
    <t>ИТОГО (2,3,4 курс)</t>
  </si>
  <si>
    <t xml:space="preserve">Всего </t>
  </si>
  <si>
    <t>Дисциплин и МДК</t>
  </si>
  <si>
    <t>Государственная (итоговая ) аттестация</t>
  </si>
  <si>
    <t>Учебной практики</t>
  </si>
  <si>
    <t>1. Программа базовой подготовки</t>
  </si>
  <si>
    <t>Производственной практики</t>
  </si>
  <si>
    <t>1.1 Демонстрационный экзамен в виде государственного экзамена</t>
  </si>
  <si>
    <t>Преддипломной практики</t>
  </si>
  <si>
    <t>1.2 Выпускная квалификационная работа (дипломный проект (работа)</t>
  </si>
  <si>
    <t>Экзаменов</t>
  </si>
  <si>
    <t>Дифф. зачетов</t>
  </si>
  <si>
    <t>Зачетов</t>
  </si>
  <si>
    <t>часы нераспределенные</t>
  </si>
  <si>
    <t>УТВЕРЖДАЮ:
Директор аграрного колледжа
_____________ С.В.Оношкин
"02" сентября 2026 г.</t>
  </si>
  <si>
    <t>Календарный учебный график на 2025-2028 учебный год</t>
  </si>
  <si>
    <t>Курс</t>
  </si>
  <si>
    <t>Группа</t>
  </si>
  <si>
    <t>Количество недель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</si>
  <si>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</si>
  <si>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</si>
  <si>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</si>
  <si>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</si>
  <si>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</si>
  <si>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</si>
  <si>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</si>
  <si>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</si>
  <si>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</si>
  <si>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</si>
  <si>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</si>
  <si>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</si>
  <si>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Обучение по УД и МДК</t>
  </si>
  <si>
    <t>Производственная практика (нед.)</t>
  </si>
  <si>
    <t>Государственная аттестация</t>
  </si>
  <si>
    <t>Каникулы</t>
  </si>
  <si>
    <t>Всего</t>
  </si>
  <si>
    <t>1 нед.</t>
  </si>
  <si>
    <t>2 нед.</t>
  </si>
  <si>
    <t>3 нед.</t>
  </si>
  <si>
    <t>4 нед.</t>
  </si>
  <si>
    <t>5 нед.</t>
  </si>
  <si>
    <t>6 нед.</t>
  </si>
  <si>
    <t>7 нед.</t>
  </si>
  <si>
    <t>8 нед.</t>
  </si>
  <si>
    <t>9 нед.</t>
  </si>
  <si>
    <t>10 нед.</t>
  </si>
  <si>
    <t>11 нед.</t>
  </si>
  <si>
    <t>12 нед.</t>
  </si>
  <si>
    <t>13 нед.</t>
  </si>
  <si>
    <t>14 нед.</t>
  </si>
  <si>
    <t>15 нед.</t>
  </si>
  <si>
    <t>16 нед.</t>
  </si>
  <si>
    <t>17 нед.</t>
  </si>
  <si>
    <t>18 нед.</t>
  </si>
  <si>
    <t>19 нед.</t>
  </si>
  <si>
    <t>20 нед.</t>
  </si>
  <si>
    <t>21 нед.</t>
  </si>
  <si>
    <t>22 нед.</t>
  </si>
  <si>
    <t>23 нед.</t>
  </si>
  <si>
    <t>24 нед.</t>
  </si>
  <si>
    <t>25 нед.</t>
  </si>
  <si>
    <t>26 нед.</t>
  </si>
  <si>
    <t>27 нед.</t>
  </si>
  <si>
    <t>28 нед.</t>
  </si>
  <si>
    <t>29 нед.</t>
  </si>
  <si>
    <t>30 нед.</t>
  </si>
  <si>
    <t>31 нед.</t>
  </si>
  <si>
    <t>32 нед.</t>
  </si>
  <si>
    <t>33 нед.</t>
  </si>
  <si>
    <t>34 нед.</t>
  </si>
  <si>
    <t>35 нед.</t>
  </si>
  <si>
    <t>36 нед.</t>
  </si>
  <si>
    <t>37 нед.</t>
  </si>
  <si>
    <t>38 нед.</t>
  </si>
  <si>
    <t>39 нед.</t>
  </si>
  <si>
    <t>40 нед.</t>
  </si>
  <si>
    <t>41 нед.</t>
  </si>
  <si>
    <t>42 нед.</t>
  </si>
  <si>
    <t>43 нед.</t>
  </si>
  <si>
    <t>44 нед.</t>
  </si>
  <si>
    <t>45 нед.</t>
  </si>
  <si>
    <t>46 нед.</t>
  </si>
  <si>
    <t>47 нед.</t>
  </si>
  <si>
    <t>48 нед.</t>
  </si>
  <si>
    <t>49 нед.</t>
  </si>
  <si>
    <t>50 нед.</t>
  </si>
  <si>
    <t>51 нед.</t>
  </si>
  <si>
    <t>52 нед.</t>
  </si>
  <si>
    <t>по профилю специальности</t>
  </si>
  <si>
    <t>преддипломная практика</t>
  </si>
  <si>
    <t>I</t>
  </si>
  <si>
    <t>11М</t>
  </si>
  <si>
    <t>II</t>
  </si>
  <si>
    <t>21М</t>
  </si>
  <si>
    <t>24 3/6</t>
  </si>
  <si>
    <t>41 3/6</t>
  </si>
  <si>
    <t>10 3/6</t>
  </si>
  <si>
    <t>III</t>
  </si>
  <si>
    <t>31М</t>
  </si>
  <si>
    <t>УП 03</t>
  </si>
  <si>
    <t>ПП 03</t>
  </si>
  <si>
    <t>35 3/6</t>
  </si>
  <si>
    <t>IV</t>
  </si>
  <si>
    <t>41М</t>
  </si>
  <si>
    <t>УП01</t>
  </si>
  <si>
    <t>ПП01</t>
  </si>
  <si>
    <t>УП 02</t>
  </si>
  <si>
    <t>ПП 02</t>
  </si>
  <si>
    <t>Теоретическое обучение</t>
  </si>
  <si>
    <t>Практика для получения первичных профессиональных навыков (учебная)</t>
  </si>
  <si>
    <t>Практика по профилю специальности (производственная)</t>
  </si>
  <si>
    <t>Практика  
преддипломная, квалификационная</t>
  </si>
  <si>
    <t>Дипломирование</t>
  </si>
  <si>
    <t>Сессия</t>
  </si>
  <si>
    <t>3. Перечень кабинетов, лабораторий, мастерских и др. для подготовки по специальности СПО</t>
  </si>
  <si>
    <t>№</t>
  </si>
  <si>
    <t>Наименование кабинета</t>
  </si>
  <si>
    <t>№ кабинета</t>
  </si>
  <si>
    <t>Ответственный за кабинет</t>
  </si>
  <si>
    <t>Социально-экономических дисциплин</t>
  </si>
  <si>
    <t>Попова А.В.</t>
  </si>
  <si>
    <t>Иностранного языка в профессиональной деятельности</t>
  </si>
  <si>
    <t>Самолюк И.Ю.</t>
  </si>
  <si>
    <t>Информационных технологий в профессиональной деятельности</t>
  </si>
  <si>
    <t>Кошелев М.Н.</t>
  </si>
  <si>
    <t>Инженерной графики</t>
  </si>
  <si>
    <t>Давыдова Т.П.</t>
  </si>
  <si>
    <t>Технической механики</t>
  </si>
  <si>
    <t>Столяр Д.С.</t>
  </si>
  <si>
    <t>Материаловедения</t>
  </si>
  <si>
    <t>Оношкин С.В.</t>
  </si>
  <si>
    <t>Приемщиков А.Е.</t>
  </si>
  <si>
    <t>Агрономии</t>
  </si>
  <si>
    <t>Чебыкина Г.А.</t>
  </si>
  <si>
    <t>Зоотехнии</t>
  </si>
  <si>
    <t>Экологических основ природопользования</t>
  </si>
  <si>
    <t>Безопасности жизнедеятельности и охраны труда</t>
  </si>
  <si>
    <t>Блохин А.В.</t>
  </si>
  <si>
    <t>Лаборатории</t>
  </si>
  <si>
    <t>Электротехники и электроники</t>
  </si>
  <si>
    <t>Орлов А.А.</t>
  </si>
  <si>
    <t>Метрологии, стандартизации, сертификации</t>
  </si>
  <si>
    <t>Гидравлики и теплотехники</t>
  </si>
  <si>
    <t>Топлива и смазочных материалов</t>
  </si>
  <si>
    <t>Тракторов и автомобилей</t>
  </si>
  <si>
    <t>хим.корпус</t>
  </si>
  <si>
    <t>Сельскохозяйственных и мелиоративных машин</t>
  </si>
  <si>
    <t>учхоз</t>
  </si>
  <si>
    <t>Эксплуатации машинно-тракторного парка</t>
  </si>
  <si>
    <t>Малахов В.П.</t>
  </si>
  <si>
    <t>Ремонта машин, оборудования и восстановления деталей</t>
  </si>
  <si>
    <t>Технологии и механизации производства продукции растениеводства</t>
  </si>
  <si>
    <t>Технологии и механизации производства продукции животноводства</t>
  </si>
  <si>
    <t>Мастерские</t>
  </si>
  <si>
    <t>Слесарная</t>
  </si>
  <si>
    <t>УИШ</t>
  </si>
  <si>
    <t>Сварочная</t>
  </si>
  <si>
    <t>Пункт технического обслуживания и ремонта</t>
  </si>
  <si>
    <t>Тренажеры, тренажерные комплексы</t>
  </si>
  <si>
    <t>Тренажер для выработки навыков и совершенствования техники управления транспортным и мобильным энергетическим средством (в качестве тренажера может использоваться учебное транспортное средство)</t>
  </si>
  <si>
    <t>Паначев П.А.</t>
  </si>
  <si>
    <t>Спортивный комплекс</t>
  </si>
  <si>
    <t>Спортивный зал</t>
  </si>
  <si>
    <t>Тихонов О.В.</t>
  </si>
  <si>
    <t>Залы:</t>
  </si>
  <si>
    <t>Библиотека, читальный зал с выходом в интернет</t>
  </si>
  <si>
    <t>Истомина Н.И.</t>
  </si>
  <si>
    <t>Актовый зал</t>
  </si>
  <si>
    <t>Тункина С.П.</t>
  </si>
  <si>
    <t>1. Сводные данные по бюджету времени</t>
  </si>
  <si>
    <t>Курсы</t>
  </si>
  <si>
    <t>Обучение по дисциплинам и междисциплинарным курсам</t>
  </si>
  <si>
    <t>Производственное обучение</t>
  </si>
  <si>
    <t>Государственная (итоговая) аттестация</t>
  </si>
  <si>
    <t>Всего (по курсам)</t>
  </si>
  <si>
    <t>Производственная практика  по профилю специальности</t>
  </si>
  <si>
    <t>Преддипломная практика</t>
  </si>
  <si>
    <t>I курс</t>
  </si>
  <si>
    <t>II курс</t>
  </si>
  <si>
    <t>III курс</t>
  </si>
  <si>
    <t>IV курс</t>
  </si>
  <si>
    <t>Объем программы</t>
  </si>
  <si>
    <t>Объем образовательной нагрузки</t>
  </si>
  <si>
    <t>Семестровые часы</t>
  </si>
  <si>
    <t>ГИА</t>
  </si>
  <si>
    <t xml:space="preserve">Обязательная часть </t>
  </si>
  <si>
    <t>Общий объем программы 11кл</t>
  </si>
  <si>
    <t>на базе 11кл</t>
  </si>
  <si>
    <t>1 курс с промежуточной атестацией</t>
  </si>
  <si>
    <t xml:space="preserve">Вариативная часть </t>
  </si>
  <si>
    <t>Общий объем программы</t>
  </si>
  <si>
    <t xml:space="preserve">Отделение </t>
  </si>
  <si>
    <t>Специальность</t>
  </si>
  <si>
    <t>Число студентов в группе</t>
  </si>
  <si>
    <t xml:space="preserve">Кл. руководитель </t>
  </si>
  <si>
    <t>Предмет</t>
  </si>
  <si>
    <t>Распределение по семестру</t>
  </si>
  <si>
    <t>Количество часов во взаимодействии с преподавателем</t>
  </si>
  <si>
    <t>Всего часов</t>
  </si>
  <si>
    <t>Распределение часов по семестру</t>
  </si>
  <si>
    <t>ФИО преподавателя</t>
  </si>
  <si>
    <t>Экзамен</t>
  </si>
  <si>
    <t>Дифференцированный зачет</t>
  </si>
  <si>
    <t>Зачет</t>
  </si>
  <si>
    <t xml:space="preserve">Объём образовательной нагрузки </t>
  </si>
  <si>
    <t>Самостоятельное изучение</t>
  </si>
  <si>
    <t xml:space="preserve"> курсовые</t>
  </si>
  <si>
    <t>нед.</t>
  </si>
  <si>
    <t>С делением</t>
  </si>
  <si>
    <t>В т.ч  ЛР, ПЗ</t>
  </si>
  <si>
    <t>В неделю</t>
  </si>
  <si>
    <t>В т.ч ЛР, ПЗ</t>
  </si>
  <si>
    <t>1.</t>
  </si>
  <si>
    <t>Блохина И.П.</t>
  </si>
  <si>
    <t>2.</t>
  </si>
  <si>
    <t>3.</t>
  </si>
  <si>
    <t>Городилов Д.А.</t>
  </si>
  <si>
    <t>4.</t>
  </si>
  <si>
    <t>5.</t>
  </si>
  <si>
    <t>Дивель О.А.</t>
  </si>
  <si>
    <t>6.</t>
  </si>
  <si>
    <t>7.</t>
  </si>
  <si>
    <t>8.</t>
  </si>
  <si>
    <t>9.</t>
  </si>
  <si>
    <t>Сычев Д.С.</t>
  </si>
  <si>
    <t>10.</t>
  </si>
  <si>
    <t>Основы безопасности и защиты Родины</t>
  </si>
  <si>
    <t>11.</t>
  </si>
  <si>
    <t>Корепанова Н.В.</t>
  </si>
  <si>
    <t>12.</t>
  </si>
  <si>
    <t>13.</t>
  </si>
  <si>
    <t>14.</t>
  </si>
  <si>
    <t>ИТОГО</t>
  </si>
  <si>
    <t>Огородова О.Г.</t>
  </si>
  <si>
    <t>СГ.09</t>
  </si>
  <si>
    <t>Основы бережливого производства</t>
  </si>
  <si>
    <t>Шарова О.В.</t>
  </si>
  <si>
    <t>35.02.16 "Эксплуатация и ремонт сельскохозяйственной техники и оборудования"</t>
  </si>
  <si>
    <t>Математика</t>
  </si>
  <si>
    <t>Физика</t>
  </si>
  <si>
    <t>Эксплуатации и ремонта техники</t>
  </si>
  <si>
    <t>Рабочий учебный план
на 20__/20__ г.</t>
  </si>
  <si>
    <t>Директор</t>
  </si>
  <si>
    <t>«01» сентября 20__ г.</t>
  </si>
  <si>
    <t>Индивидуальный проект</t>
  </si>
  <si>
    <t>Просвирова О.И.</t>
  </si>
  <si>
    <t>Михайлова И.В.</t>
  </si>
  <si>
    <t>в т.ч.</t>
  </si>
  <si>
    <t>ЛР и ПЗ</t>
  </si>
  <si>
    <t>Отчет-Дневник</t>
  </si>
  <si>
    <t>Учебная практика ПМ01</t>
  </si>
  <si>
    <t>Производственная практика ПМ01</t>
  </si>
  <si>
    <t>Учебная практика ПМ02</t>
  </si>
  <si>
    <t>Производственная практика ПМ02</t>
  </si>
  <si>
    <t>Учебная практика ПМ03</t>
  </si>
  <si>
    <t>Производственная практика ПМ03</t>
  </si>
  <si>
    <t>Устинова С.В.</t>
  </si>
  <si>
    <t>Основы агрономии и зоотехнии</t>
  </si>
  <si>
    <t>Правовые основы профессиональной деятельности</t>
  </si>
  <si>
    <t>Охрана труда</t>
  </si>
  <si>
    <t>Дз/Э</t>
  </si>
  <si>
    <t>3,4,5</t>
  </si>
  <si>
    <t>З/З/З/Дз</t>
  </si>
  <si>
    <t>Выполнение работ по профессии рабочих 19205 Тракторист-машинист сельскохозяйственного производства</t>
  </si>
  <si>
    <t>Экзаменпо модулю  ПМ02</t>
  </si>
  <si>
    <t>Экзамен по модулю ПМ 01</t>
  </si>
  <si>
    <t>Экзамен по модулю ПМ03</t>
  </si>
  <si>
    <t>35.02.16 Эксплуатация и ремонт сельскохозяйственной техники и оборудования</t>
  </si>
  <si>
    <t>Математические методы решения прикладных задач</t>
  </si>
  <si>
    <t>Кабинет самостоятельной и воспитательной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</si>
</sst>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/d/yyyy"/>
    <numFmt numFmtId="165" formatCode="0.0"/>
  </numFmts>
  <fonts count="58" x14ac:knownFonts="1">
    <font>
      <sz val="10"/>
      <name val="Arial Cyr"/>
      <family val="2"/>
      <charset val="204"/>
    </font>
    <font>
      <sz val="10"/>
      <name val="Arial Cyr"/>
      <charset val="204"/>
    </font>
    <font>
      <sz val="20"/>
      <name val="Arial Cyr"/>
      <family val="2"/>
      <charset val="204"/>
    </font>
    <font>
      <sz val="20"/>
      <name val="Times New Roman"/>
      <family val="1"/>
      <charset val="204"/>
    </font>
    <font>
      <sz val="9"/>
      <name val="Arial Cyr"/>
      <family val="2"/>
      <charset val="204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b/>
      <sz val="12"/>
      <name val="Arial Cyr"/>
      <family val="2"/>
      <charset val="204"/>
    </font>
    <font>
      <b/>
      <sz val="11"/>
      <name val="Arial Cyr"/>
      <family val="2"/>
      <charset val="204"/>
    </font>
    <font>
      <b/>
      <sz val="20"/>
      <name val="Arial Cyr"/>
      <family val="2"/>
      <charset val="204"/>
    </font>
    <font>
      <b/>
      <sz val="14"/>
      <name val="Arial Cyr"/>
      <family val="2"/>
      <charset val="204"/>
    </font>
    <font>
      <b/>
      <sz val="14"/>
      <name val="Times New Roman"/>
      <family val="1"/>
      <charset val="204"/>
    </font>
    <font>
      <sz val="8"/>
      <name val="Arial Cyr"/>
      <family val="2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6"/>
      <name val="Arial Cyr"/>
      <family val="2"/>
      <charset val="204"/>
    </font>
    <font>
      <sz val="10"/>
      <color rgb="FFFF0000"/>
      <name val="Arial Cyr"/>
      <family val="2"/>
      <charset val="204"/>
    </font>
    <font>
      <sz val="11"/>
      <color rgb="FFFF0000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Arial Cyr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C9211E"/>
      <name val="Arial Cyr"/>
      <family val="2"/>
      <charset val="204"/>
    </font>
    <font>
      <b/>
      <sz val="11"/>
      <name val="Arial"/>
      <family val="2"/>
      <charset val="204"/>
    </font>
    <font>
      <b/>
      <sz val="10"/>
      <color rgb="FFFF0000"/>
      <name val="Arial Cyr"/>
      <family val="2"/>
      <charset val="204"/>
    </font>
    <font>
      <sz val="11"/>
      <color rgb="FFC0C0C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color rgb="FFC0C0C0"/>
      <name val="Arial"/>
      <family val="2"/>
      <charset val="204"/>
    </font>
    <font>
      <b/>
      <sz val="11"/>
      <color rgb="FFC0C0C0"/>
      <name val="Arial"/>
      <family val="2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b/>
      <sz val="11"/>
      <color rgb="FFFF0000"/>
      <name val="Arial"/>
      <family val="2"/>
      <charset val="204"/>
    </font>
    <font>
      <b/>
      <sz val="11"/>
      <color rgb="FFFF0000"/>
      <name val="Arial Cyr"/>
      <family val="2"/>
      <charset val="204"/>
    </font>
    <font>
      <b/>
      <sz val="11"/>
      <color rgb="FFC0C0C0"/>
      <name val="Arial Cyr"/>
      <family val="2"/>
      <charset val="204"/>
    </font>
    <font>
      <b/>
      <sz val="11"/>
      <color rgb="FF000000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Arial Cyr"/>
      <family val="2"/>
      <charset val="204"/>
    </font>
    <font>
      <b/>
      <sz val="9"/>
      <color rgb="FF000000"/>
      <name val="Arial"/>
      <family val="2"/>
      <charset val="204"/>
    </font>
    <font>
      <sz val="7"/>
      <name val="Arial Cyr"/>
      <family val="2"/>
      <charset val="204"/>
    </font>
    <font>
      <sz val="7"/>
      <color rgb="FFFF0000"/>
      <name val="Arial Cyr"/>
      <family val="2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sz val="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name val="Arial Cyr"/>
      <family val="2"/>
      <charset val="204"/>
    </font>
    <font>
      <sz val="16"/>
      <color rgb="FFA6A6A6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00B050"/>
        <bgColor rgb="FF008080"/>
      </patternFill>
    </fill>
    <fill>
      <patternFill patternType="solid">
        <fgColor rgb="FFFF0000"/>
        <bgColor rgb="FFC9211E"/>
      </patternFill>
    </fill>
    <fill>
      <patternFill patternType="solid">
        <fgColor rgb="FF92D050"/>
        <bgColor rgb="FFA6A6A6"/>
      </patternFill>
    </fill>
    <fill>
      <patternFill patternType="solid">
        <fgColor rgb="FF00B0F0"/>
        <bgColor rgb="FF33CCCC"/>
      </patternFill>
    </fill>
    <fill>
      <patternFill patternType="solid">
        <fgColor rgb="FF7030A0"/>
        <bgColor rgb="FF993366"/>
      </patternFill>
    </fill>
    <fill>
      <patternFill patternType="solid">
        <fgColor rgb="FFDEEBF7"/>
        <bgColor rgb="FFCCFFFF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6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1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0" fillId="0" borderId="0" xfId="0" applyAlignment="1">
      <alignment horizontal="center"/>
    </xf>
    <xf numFmtId="0" fontId="18" fillId="0" borderId="0" xfId="0" applyFont="1"/>
    <xf numFmtId="0" fontId="6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0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top" wrapText="1"/>
    </xf>
    <xf numFmtId="0" fontId="23" fillId="0" borderId="7" xfId="0" applyFont="1" applyBorder="1" applyAlignment="1">
      <alignment horizontal="center" vertical="center" textRotation="90" wrapText="1"/>
    </xf>
    <xf numFmtId="0" fontId="23" fillId="0" borderId="8" xfId="0" applyFont="1" applyBorder="1" applyAlignment="1">
      <alignment horizontal="center" vertical="center" textRotation="90" wrapText="1"/>
    </xf>
    <xf numFmtId="0" fontId="23" fillId="0" borderId="6" xfId="0" applyFont="1" applyBorder="1" applyAlignment="1">
      <alignment horizontal="center" vertical="center" textRotation="90" wrapText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textRotation="90" wrapText="1"/>
    </xf>
    <xf numFmtId="0" fontId="23" fillId="0" borderId="17" xfId="0" applyFont="1" applyBorder="1" applyAlignment="1">
      <alignment horizontal="center" vertical="center" textRotation="90" wrapText="1"/>
    </xf>
    <xf numFmtId="0" fontId="23" fillId="0" borderId="18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164" fontId="25" fillId="3" borderId="8" xfId="0" applyNumberFormat="1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23" fillId="0" borderId="6" xfId="0" applyFont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1" fontId="25" fillId="3" borderId="6" xfId="0" applyNumberFormat="1" applyFont="1" applyFill="1" applyBorder="1" applyAlignment="1">
      <alignment horizontal="center" vertical="center"/>
    </xf>
    <xf numFmtId="1" fontId="25" fillId="3" borderId="7" xfId="0" applyNumberFormat="1" applyFont="1" applyFill="1" applyBorder="1" applyAlignment="1">
      <alignment horizontal="center" vertical="center"/>
    </xf>
    <xf numFmtId="1" fontId="25" fillId="3" borderId="8" xfId="0" applyNumberFormat="1" applyFont="1" applyFill="1" applyBorder="1" applyAlignment="1">
      <alignment horizontal="center" vertical="center"/>
    </xf>
    <xf numFmtId="1" fontId="27" fillId="0" borderId="0" xfId="0" applyNumberFormat="1" applyFont="1" applyAlignment="1">
      <alignment horizontal="center" vertical="top" wrapText="1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10" fillId="0" borderId="0" xfId="0" applyNumberFormat="1" applyFont="1" applyAlignment="1">
      <alignment horizontal="center" vertical="center" wrapText="1"/>
    </xf>
    <xf numFmtId="0" fontId="26" fillId="0" borderId="7" xfId="0" applyFont="1" applyBorder="1" applyAlignment="1">
      <alignment vertical="center" wrapText="1"/>
    </xf>
    <xf numFmtId="49" fontId="23" fillId="0" borderId="8" xfId="0" applyNumberFormat="1" applyFont="1" applyBorder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1" fontId="25" fillId="3" borderId="1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29" fillId="0" borderId="0" xfId="0" applyFont="1"/>
    <xf numFmtId="0" fontId="3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1" fontId="23" fillId="0" borderId="7" xfId="0" applyNumberFormat="1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left" vertical="center"/>
    </xf>
    <xf numFmtId="1" fontId="31" fillId="4" borderId="19" xfId="0" applyNumberFormat="1" applyFont="1" applyFill="1" applyBorder="1" applyAlignment="1">
      <alignment horizontal="center" vertical="center"/>
    </xf>
    <xf numFmtId="1" fontId="31" fillId="4" borderId="7" xfId="0" applyNumberFormat="1" applyFont="1" applyFill="1" applyBorder="1" applyAlignment="1">
      <alignment horizontal="center" vertical="center"/>
    </xf>
    <xf numFmtId="1" fontId="31" fillId="4" borderId="16" xfId="0" applyNumberFormat="1" applyFont="1" applyFill="1" applyBorder="1" applyAlignment="1">
      <alignment horizontal="center" vertical="center"/>
    </xf>
    <xf numFmtId="1" fontId="31" fillId="4" borderId="6" xfId="0" applyNumberFormat="1" applyFont="1" applyFill="1" applyBorder="1" applyAlignment="1">
      <alignment horizontal="center" vertical="center"/>
    </xf>
    <xf numFmtId="1" fontId="31" fillId="4" borderId="8" xfId="0" applyNumberFormat="1" applyFont="1" applyFill="1" applyBorder="1" applyAlignment="1">
      <alignment horizontal="center" vertical="center"/>
    </xf>
    <xf numFmtId="1" fontId="31" fillId="4" borderId="15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top"/>
    </xf>
    <xf numFmtId="2" fontId="33" fillId="0" borderId="0" xfId="0" applyNumberFormat="1" applyFont="1" applyAlignment="1">
      <alignment horizontal="center" vertical="center"/>
    </xf>
    <xf numFmtId="0" fontId="32" fillId="0" borderId="0" xfId="0" applyFont="1"/>
    <xf numFmtId="2" fontId="32" fillId="0" borderId="0" xfId="0" applyNumberFormat="1" applyFont="1"/>
    <xf numFmtId="0" fontId="33" fillId="0" borderId="0" xfId="0" applyFont="1"/>
    <xf numFmtId="0" fontId="25" fillId="3" borderId="7" xfId="0" applyFont="1" applyFill="1" applyBorder="1" applyAlignment="1">
      <alignment horizontal="center" vertical="center" wrapText="1"/>
    </xf>
    <xf numFmtId="1" fontId="25" fillId="3" borderId="19" xfId="0" applyNumberFormat="1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1" fontId="21" fillId="0" borderId="7" xfId="0" applyNumberFormat="1" applyFont="1" applyBorder="1" applyAlignment="1">
      <alignment horizontal="center" vertical="center"/>
    </xf>
    <xf numFmtId="1" fontId="21" fillId="0" borderId="17" xfId="0" applyNumberFormat="1" applyFont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1" fontId="20" fillId="0" borderId="6" xfId="0" applyNumberFormat="1" applyFont="1" applyBorder="1" applyAlignment="1">
      <alignment horizontal="center" vertical="center" wrapText="1"/>
    </xf>
    <xf numFmtId="1" fontId="20" fillId="0" borderId="7" xfId="0" applyNumberFormat="1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1" fontId="20" fillId="2" borderId="7" xfId="0" applyNumberFormat="1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top"/>
    </xf>
    <xf numFmtId="0" fontId="20" fillId="5" borderId="15" xfId="0" applyFont="1" applyFill="1" applyBorder="1" applyAlignment="1">
      <alignment horizontal="left" vertical="top"/>
    </xf>
    <xf numFmtId="0" fontId="20" fillId="5" borderId="8" xfId="0" applyFont="1" applyFill="1" applyBorder="1" applyAlignment="1">
      <alignment horizontal="center" vertical="top"/>
    </xf>
    <xf numFmtId="0" fontId="20" fillId="5" borderId="7" xfId="0" applyFont="1" applyFill="1" applyBorder="1" applyAlignment="1">
      <alignment horizontal="center" vertical="top"/>
    </xf>
    <xf numFmtId="0" fontId="20" fillId="5" borderId="17" xfId="0" applyFont="1" applyFill="1" applyBorder="1" applyAlignment="1">
      <alignment horizontal="center" vertical="top"/>
    </xf>
    <xf numFmtId="0" fontId="20" fillId="5" borderId="18" xfId="0" applyFont="1" applyFill="1" applyBorder="1" applyAlignment="1">
      <alignment horizontal="center" vertical="top"/>
    </xf>
    <xf numFmtId="0" fontId="26" fillId="0" borderId="15" xfId="0" applyFont="1" applyBorder="1" applyAlignment="1">
      <alignment vertical="center" wrapText="1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31" fillId="6" borderId="20" xfId="0" applyFont="1" applyFill="1" applyBorder="1" applyAlignment="1">
      <alignment horizontal="center" vertical="top"/>
    </xf>
    <xf numFmtId="0" fontId="31" fillId="6" borderId="21" xfId="0" applyFont="1" applyFill="1" applyBorder="1" applyAlignment="1">
      <alignment horizontal="center" vertical="center" wrapText="1"/>
    </xf>
    <xf numFmtId="164" fontId="25" fillId="6" borderId="22" xfId="0" applyNumberFormat="1" applyFont="1" applyFill="1" applyBorder="1" applyAlignment="1">
      <alignment horizontal="center" vertical="center"/>
    </xf>
    <xf numFmtId="1" fontId="31" fillId="6" borderId="20" xfId="0" applyNumberFormat="1" applyFont="1" applyFill="1" applyBorder="1" applyAlignment="1">
      <alignment horizontal="center" vertical="center"/>
    </xf>
    <xf numFmtId="1" fontId="31" fillId="6" borderId="21" xfId="0" applyNumberFormat="1" applyFont="1" applyFill="1" applyBorder="1" applyAlignment="1">
      <alignment horizontal="center" vertical="center"/>
    </xf>
    <xf numFmtId="1" fontId="31" fillId="6" borderId="22" xfId="0" applyNumberFormat="1" applyFont="1" applyFill="1" applyBorder="1" applyAlignment="1">
      <alignment horizontal="center" vertical="center"/>
    </xf>
    <xf numFmtId="1" fontId="31" fillId="6" borderId="2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8" fillId="0" borderId="7" xfId="0" applyFont="1" applyBorder="1"/>
    <xf numFmtId="0" fontId="30" fillId="2" borderId="7" xfId="0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1" fontId="34" fillId="2" borderId="7" xfId="0" applyNumberFormat="1" applyFont="1" applyFill="1" applyBorder="1" applyAlignment="1">
      <alignment horizontal="center" vertical="top"/>
    </xf>
    <xf numFmtId="0" fontId="0" fillId="0" borderId="24" xfId="0" applyBorder="1" applyAlignment="1">
      <alignment horizontal="center"/>
    </xf>
    <xf numFmtId="0" fontId="0" fillId="0" borderId="24" xfId="0" applyBorder="1"/>
    <xf numFmtId="0" fontId="18" fillId="0" borderId="24" xfId="0" applyFont="1" applyBorder="1"/>
    <xf numFmtId="1" fontId="35" fillId="2" borderId="24" xfId="0" applyNumberFormat="1" applyFont="1" applyFill="1" applyBorder="1" applyAlignment="1">
      <alignment horizontal="center" vertical="top"/>
    </xf>
    <xf numFmtId="0" fontId="10" fillId="0" borderId="24" xfId="0" applyFont="1" applyBorder="1" applyAlignment="1">
      <alignment horizontal="center" vertical="top"/>
    </xf>
    <xf numFmtId="1" fontId="6" fillId="0" borderId="0" xfId="0" applyNumberFormat="1" applyFont="1"/>
    <xf numFmtId="0" fontId="37" fillId="0" borderId="7" xfId="0" applyFont="1" applyBorder="1" applyAlignment="1">
      <alignment vertical="center"/>
    </xf>
    <xf numFmtId="0" fontId="37" fillId="0" borderId="15" xfId="0" applyFont="1" applyBorder="1" applyAlignment="1">
      <alignment vertical="center"/>
    </xf>
    <xf numFmtId="1" fontId="28" fillId="2" borderId="1" xfId="0" applyNumberFormat="1" applyFont="1" applyFill="1" applyBorder="1" applyAlignment="1">
      <alignment horizontal="center" vertical="center"/>
    </xf>
    <xf numFmtId="1" fontId="38" fillId="2" borderId="2" xfId="0" applyNumberFormat="1" applyFont="1" applyFill="1" applyBorder="1" applyAlignment="1">
      <alignment horizontal="center" vertical="center"/>
    </xf>
    <xf numFmtId="1" fontId="28" fillId="2" borderId="2" xfId="0" applyNumberFormat="1" applyFont="1" applyFill="1" applyBorder="1" applyAlignment="1">
      <alignment horizontal="center" vertical="center"/>
    </xf>
    <xf numFmtId="1" fontId="38" fillId="2" borderId="25" xfId="0" applyNumberFormat="1" applyFont="1" applyFill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1" fontId="28" fillId="2" borderId="6" xfId="0" applyNumberFormat="1" applyFont="1" applyFill="1" applyBorder="1" applyAlignment="1">
      <alignment horizontal="center" vertical="center"/>
    </xf>
    <xf numFmtId="1" fontId="38" fillId="2" borderId="7" xfId="0" applyNumberFormat="1" applyFont="1" applyFill="1" applyBorder="1" applyAlignment="1">
      <alignment horizontal="center" vertical="center"/>
    </xf>
    <xf numFmtId="1" fontId="28" fillId="2" borderId="7" xfId="0" applyNumberFormat="1" applyFont="1" applyFill="1" applyBorder="1" applyAlignment="1">
      <alignment horizontal="center" vertical="center"/>
    </xf>
    <xf numFmtId="1" fontId="38" fillId="2" borderId="15" xfId="0" applyNumberFormat="1" applyFont="1" applyFill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20" fillId="0" borderId="15" xfId="0" applyFont="1" applyBorder="1" applyAlignment="1">
      <alignment vertical="center"/>
    </xf>
    <xf numFmtId="0" fontId="37" fillId="0" borderId="7" xfId="0" applyFont="1" applyBorder="1" applyAlignment="1">
      <alignment vertical="center" wrapText="1"/>
    </xf>
    <xf numFmtId="0" fontId="37" fillId="0" borderId="15" xfId="0" applyFont="1" applyBorder="1" applyAlignment="1">
      <alignment vertical="center" wrapText="1"/>
    </xf>
    <xf numFmtId="1" fontId="28" fillId="2" borderId="20" xfId="0" applyNumberFormat="1" applyFont="1" applyFill="1" applyBorder="1" applyAlignment="1">
      <alignment horizontal="center" vertical="center"/>
    </xf>
    <xf numFmtId="1" fontId="38" fillId="2" borderId="21" xfId="0" applyNumberFormat="1" applyFont="1" applyFill="1" applyBorder="1" applyAlignment="1">
      <alignment horizontal="center" vertical="center"/>
    </xf>
    <xf numFmtId="1" fontId="28" fillId="2" borderId="21" xfId="0" applyNumberFormat="1" applyFont="1" applyFill="1" applyBorder="1" applyAlignment="1">
      <alignment horizontal="center" vertical="center"/>
    </xf>
    <xf numFmtId="1" fontId="38" fillId="2" borderId="23" xfId="0" applyNumberFormat="1" applyFont="1" applyFill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vertical="top"/>
    </xf>
    <xf numFmtId="1" fontId="35" fillId="2" borderId="0" xfId="0" applyNumberFormat="1" applyFont="1" applyFill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28" fillId="2" borderId="1" xfId="0" applyFont="1" applyFill="1" applyBorder="1" applyAlignment="1">
      <alignment horizontal="center" vertical="top"/>
    </xf>
    <xf numFmtId="0" fontId="28" fillId="2" borderId="2" xfId="0" applyFont="1" applyFill="1" applyBorder="1" applyAlignment="1">
      <alignment horizontal="center" vertical="top"/>
    </xf>
    <xf numFmtId="0" fontId="28" fillId="2" borderId="3" xfId="0" applyFont="1" applyFill="1" applyBorder="1" applyAlignment="1">
      <alignment horizontal="center" vertical="top"/>
    </xf>
    <xf numFmtId="0" fontId="20" fillId="0" borderId="17" xfId="0" applyFont="1" applyBorder="1" applyAlignment="1">
      <alignment vertical="center"/>
    </xf>
    <xf numFmtId="0" fontId="28" fillId="2" borderId="26" xfId="0" applyFont="1" applyFill="1" applyBorder="1" applyAlignment="1">
      <alignment horizontal="center" vertical="top"/>
    </xf>
    <xf numFmtId="0" fontId="28" fillId="2" borderId="27" xfId="0" applyFont="1" applyFill="1" applyBorder="1" applyAlignment="1">
      <alignment horizontal="center" vertical="top"/>
    </xf>
    <xf numFmtId="0" fontId="28" fillId="2" borderId="28" xfId="0" applyFont="1" applyFill="1" applyBorder="1" applyAlignment="1">
      <alignment horizontal="center" vertical="top"/>
    </xf>
    <xf numFmtId="1" fontId="28" fillId="0" borderId="20" xfId="0" applyNumberFormat="1" applyFont="1" applyBorder="1" applyAlignment="1">
      <alignment horizontal="center" vertical="top"/>
    </xf>
    <xf numFmtId="0" fontId="41" fillId="0" borderId="21" xfId="0" applyFont="1" applyBorder="1" applyAlignment="1">
      <alignment horizontal="center" vertical="top"/>
    </xf>
    <xf numFmtId="0" fontId="28" fillId="2" borderId="21" xfId="0" applyFont="1" applyFill="1" applyBorder="1" applyAlignment="1">
      <alignment horizontal="center" vertical="top"/>
    </xf>
    <xf numFmtId="0" fontId="28" fillId="2" borderId="22" xfId="0" applyFont="1" applyFill="1" applyBorder="1" applyAlignment="1">
      <alignment horizontal="center" vertical="top"/>
    </xf>
    <xf numFmtId="1" fontId="42" fillId="0" borderId="20" xfId="0" applyNumberFormat="1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45" fillId="0" borderId="0" xfId="0" applyFont="1"/>
    <xf numFmtId="0" fontId="46" fillId="0" borderId="0" xfId="0" applyFont="1"/>
    <xf numFmtId="1" fontId="0" fillId="0" borderId="0" xfId="0" applyNumberFormat="1" applyAlignment="1">
      <alignment horizontal="center" vertical="center"/>
    </xf>
    <xf numFmtId="0" fontId="1" fillId="0" borderId="0" xfId="1"/>
    <xf numFmtId="0" fontId="1" fillId="0" borderId="0" xfId="1" applyAlignment="1">
      <alignment vertical="center"/>
    </xf>
    <xf numFmtId="0" fontId="23" fillId="0" borderId="7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 textRotation="90"/>
    </xf>
    <xf numFmtId="0" fontId="49" fillId="0" borderId="7" xfId="1" applyFont="1" applyBorder="1" applyAlignment="1">
      <alignment horizontal="center" vertical="center" textRotation="90" wrapText="1"/>
    </xf>
    <xf numFmtId="0" fontId="23" fillId="0" borderId="7" xfId="1" applyFont="1" applyBorder="1" applyAlignment="1">
      <alignment horizontal="center" vertical="center" textRotation="90" wrapText="1"/>
    </xf>
    <xf numFmtId="0" fontId="23" fillId="0" borderId="15" xfId="1" applyFont="1" applyBorder="1" applyAlignment="1">
      <alignment horizontal="center" vertical="center" textRotation="90"/>
    </xf>
    <xf numFmtId="0" fontId="47" fillId="0" borderId="7" xfId="1" applyFont="1" applyBorder="1" applyAlignment="1">
      <alignment vertical="center"/>
    </xf>
    <xf numFmtId="0" fontId="47" fillId="7" borderId="7" xfId="1" applyFont="1" applyFill="1" applyBorder="1" applyAlignment="1">
      <alignment vertical="center"/>
    </xf>
    <xf numFmtId="0" fontId="47" fillId="0" borderId="15" xfId="1" applyFont="1" applyBorder="1" applyAlignment="1">
      <alignment vertical="center"/>
    </xf>
    <xf numFmtId="0" fontId="47" fillId="7" borderId="15" xfId="1" applyFont="1" applyFill="1" applyBorder="1" applyAlignment="1">
      <alignment vertical="center"/>
    </xf>
    <xf numFmtId="0" fontId="47" fillId="7" borderId="16" xfId="1" applyFont="1" applyFill="1" applyBorder="1" applyAlignment="1">
      <alignment vertical="center"/>
    </xf>
    <xf numFmtId="0" fontId="49" fillId="0" borderId="7" xfId="1" applyFont="1" applyBorder="1" applyAlignment="1">
      <alignment horizontal="center" vertical="center"/>
    </xf>
    <xf numFmtId="49" fontId="49" fillId="0" borderId="7" xfId="1" applyNumberFormat="1" applyFont="1" applyBorder="1" applyAlignment="1">
      <alignment horizontal="center" vertical="center"/>
    </xf>
    <xf numFmtId="0" fontId="50" fillId="8" borderId="7" xfId="1" applyFont="1" applyFill="1" applyBorder="1" applyAlignment="1">
      <alignment horizontal="center" vertical="center"/>
    </xf>
    <xf numFmtId="0" fontId="50" fillId="6" borderId="7" xfId="1" applyFont="1" applyFill="1" applyBorder="1" applyAlignment="1">
      <alignment horizontal="center" vertical="center"/>
    </xf>
    <xf numFmtId="0" fontId="47" fillId="9" borderId="7" xfId="1" applyFont="1" applyFill="1" applyBorder="1" applyAlignment="1">
      <alignment vertical="center"/>
    </xf>
    <xf numFmtId="0" fontId="47" fillId="10" borderId="7" xfId="1" applyFont="1" applyFill="1" applyBorder="1" applyAlignment="1">
      <alignment vertical="center"/>
    </xf>
    <xf numFmtId="0" fontId="47" fillId="0" borderId="31" xfId="1" applyFont="1" applyBorder="1" applyAlignment="1">
      <alignment vertical="center"/>
    </xf>
    <xf numFmtId="0" fontId="23" fillId="0" borderId="0" xfId="1" applyFont="1" applyAlignment="1">
      <alignment vertical="center"/>
    </xf>
    <xf numFmtId="0" fontId="23" fillId="0" borderId="0" xfId="1" applyFont="1"/>
    <xf numFmtId="0" fontId="49" fillId="0" borderId="0" xfId="1" applyFont="1" applyAlignment="1">
      <alignment wrapText="1"/>
    </xf>
    <xf numFmtId="0" fontId="49" fillId="0" borderId="0" xfId="1" applyFont="1" applyAlignment="1">
      <alignment vertical="center" wrapText="1"/>
    </xf>
    <xf numFmtId="0" fontId="1" fillId="0" borderId="0" xfId="1" applyAlignment="1">
      <alignment horizontal="center"/>
    </xf>
    <xf numFmtId="0" fontId="16" fillId="0" borderId="0" xfId="0" applyFont="1" applyAlignment="1">
      <alignment horizontal="center"/>
    </xf>
    <xf numFmtId="0" fontId="5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5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/>
    <xf numFmtId="0" fontId="8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8" fillId="0" borderId="15" xfId="0" applyFont="1" applyBorder="1" applyAlignment="1">
      <alignment horizontal="left" vertical="top"/>
    </xf>
    <xf numFmtId="0" fontId="13" fillId="0" borderId="0" xfId="0" applyFont="1" applyAlignment="1">
      <alignment horizontal="justify"/>
    </xf>
    <xf numFmtId="0" fontId="13" fillId="0" borderId="15" xfId="0" applyFont="1" applyBorder="1" applyAlignment="1">
      <alignment horizontal="center" vertical="top"/>
    </xf>
    <xf numFmtId="0" fontId="8" fillId="0" borderId="0" xfId="0" applyFont="1"/>
    <xf numFmtId="0" fontId="13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justify"/>
    </xf>
    <xf numFmtId="0" fontId="8" fillId="0" borderId="7" xfId="0" applyFont="1" applyBorder="1" applyAlignment="1">
      <alignment horizontal="center"/>
    </xf>
    <xf numFmtId="0" fontId="8" fillId="0" borderId="15" xfId="0" applyFont="1" applyBorder="1"/>
    <xf numFmtId="0" fontId="12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0" fillId="0" borderId="0" xfId="0" applyAlignment="1">
      <alignment horizontal="justify" vertical="top" wrapText="1"/>
    </xf>
    <xf numFmtId="0" fontId="16" fillId="0" borderId="0" xfId="0" applyFont="1" applyAlignment="1">
      <alignment horizontal="justify"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justify" vertical="top" wrapText="1"/>
    </xf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15" fillId="0" borderId="7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/>
    </xf>
    <xf numFmtId="0" fontId="53" fillId="0" borderId="7" xfId="0" applyFont="1" applyBorder="1" applyAlignment="1">
      <alignment horizontal="center"/>
    </xf>
    <xf numFmtId="0" fontId="53" fillId="0" borderId="8" xfId="0" applyFont="1" applyBorder="1" applyAlignment="1">
      <alignment horizontal="center"/>
    </xf>
    <xf numFmtId="0" fontId="15" fillId="0" borderId="6" xfId="0" applyFont="1" applyBorder="1" applyAlignment="1">
      <alignment horizontal="left"/>
    </xf>
    <xf numFmtId="1" fontId="15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5" fillId="0" borderId="8" xfId="0" applyNumberFormat="1" applyFont="1" applyBorder="1" applyAlignment="1">
      <alignment horizontal="center"/>
    </xf>
    <xf numFmtId="0" fontId="15" fillId="0" borderId="6" xfId="0" applyFont="1" applyBorder="1"/>
    <xf numFmtId="165" fontId="15" fillId="0" borderId="7" xfId="0" applyNumberFormat="1" applyFont="1" applyBorder="1" applyAlignment="1">
      <alignment horizontal="center"/>
    </xf>
    <xf numFmtId="0" fontId="15" fillId="0" borderId="33" xfId="0" applyFont="1" applyBorder="1"/>
    <xf numFmtId="1" fontId="15" fillId="0" borderId="24" xfId="0" applyNumberFormat="1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11" borderId="34" xfId="0" applyFont="1" applyFill="1" applyBorder="1"/>
    <xf numFmtId="165" fontId="15" fillId="11" borderId="35" xfId="0" applyNumberFormat="1" applyFont="1" applyFill="1" applyBorder="1" applyAlignment="1">
      <alignment horizontal="center"/>
    </xf>
    <xf numFmtId="1" fontId="15" fillId="11" borderId="35" xfId="0" applyNumberFormat="1" applyFont="1" applyFill="1" applyBorder="1" applyAlignment="1">
      <alignment horizontal="center"/>
    </xf>
    <xf numFmtId="0" fontId="15" fillId="11" borderId="35" xfId="0" applyFont="1" applyFill="1" applyBorder="1" applyAlignment="1">
      <alignment horizontal="center"/>
    </xf>
    <xf numFmtId="1" fontId="15" fillId="11" borderId="36" xfId="0" applyNumberFormat="1" applyFont="1" applyFill="1" applyBorder="1" applyAlignment="1">
      <alignment horizontal="center"/>
    </xf>
    <xf numFmtId="0" fontId="51" fillId="0" borderId="0" xfId="0" applyFont="1"/>
    <xf numFmtId="0" fontId="15" fillId="0" borderId="0" xfId="0" applyFont="1" applyAlignment="1">
      <alignment horizontal="right"/>
    </xf>
    <xf numFmtId="1" fontId="15" fillId="0" borderId="0" xfId="0" applyNumberFormat="1" applyFont="1"/>
    <xf numFmtId="1" fontId="51" fillId="0" borderId="0" xfId="0" applyNumberFormat="1" applyFont="1"/>
    <xf numFmtId="0" fontId="51" fillId="0" borderId="0" xfId="0" applyFont="1" applyAlignment="1">
      <alignment wrapText="1"/>
    </xf>
    <xf numFmtId="0" fontId="54" fillId="0" borderId="0" xfId="0" applyFont="1"/>
    <xf numFmtId="0" fontId="54" fillId="0" borderId="0" xfId="0" applyFont="1" applyAlignment="1">
      <alignment horizontal="left"/>
    </xf>
    <xf numFmtId="0" fontId="48" fillId="0" borderId="7" xfId="0" applyFont="1" applyBorder="1" applyAlignment="1">
      <alignment horizontal="center" vertical="center" textRotation="90" wrapText="1"/>
    </xf>
    <xf numFmtId="0" fontId="48" fillId="0" borderId="7" xfId="0" applyFont="1" applyBorder="1" applyAlignment="1">
      <alignment vertical="center" wrapText="1"/>
    </xf>
    <xf numFmtId="0" fontId="48" fillId="0" borderId="7" xfId="0" applyFont="1" applyBorder="1" applyAlignment="1">
      <alignment horizontal="center" vertical="center" wrapText="1"/>
    </xf>
    <xf numFmtId="1" fontId="48" fillId="0" borderId="7" xfId="0" applyNumberFormat="1" applyFont="1" applyBorder="1" applyAlignment="1">
      <alignment horizontal="center" vertical="center" wrapText="1"/>
    </xf>
    <xf numFmtId="0" fontId="55" fillId="0" borderId="7" xfId="0" applyFont="1" applyBorder="1" applyAlignment="1">
      <alignment vertical="center" wrapText="1"/>
    </xf>
    <xf numFmtId="0" fontId="56" fillId="0" borderId="7" xfId="0" applyFont="1" applyBorder="1" applyAlignment="1">
      <alignment vertical="center" wrapText="1"/>
    </xf>
    <xf numFmtId="0" fontId="56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1" fontId="56" fillId="0" borderId="7" xfId="0" applyNumberFormat="1" applyFont="1" applyBorder="1" applyAlignment="1">
      <alignment horizontal="center" vertical="center" wrapText="1"/>
    </xf>
    <xf numFmtId="0" fontId="23" fillId="0" borderId="29" xfId="0" applyFont="1" applyBorder="1"/>
    <xf numFmtId="1" fontId="57" fillId="0" borderId="7" xfId="0" applyNumberFormat="1" applyFont="1" applyBorder="1" applyAlignment="1">
      <alignment horizontal="center" vertical="center" wrapText="1"/>
    </xf>
    <xf numFmtId="0" fontId="48" fillId="0" borderId="24" xfId="0" applyFont="1" applyBorder="1" applyAlignment="1">
      <alignment horizontal="center" vertical="center" textRotation="90" wrapText="1"/>
    </xf>
    <xf numFmtId="0" fontId="25" fillId="3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justify"/>
    </xf>
    <xf numFmtId="0" fontId="3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0" fontId="7" fillId="0" borderId="0" xfId="0" applyFont="1"/>
    <xf numFmtId="0" fontId="2" fillId="0" borderId="0" xfId="0" applyFont="1"/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0" xfId="0" applyFont="1"/>
    <xf numFmtId="0" fontId="20" fillId="0" borderId="1" xfId="0" applyFont="1" applyBorder="1" applyAlignment="1">
      <alignment horizontal="center" vertical="center" textRotation="90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textRotation="90"/>
    </xf>
    <xf numFmtId="0" fontId="20" fillId="0" borderId="7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3" fillId="0" borderId="9" xfId="0" applyFont="1" applyBorder="1" applyAlignment="1">
      <alignment horizontal="center" vertical="center" textRotation="90" wrapText="1"/>
    </xf>
    <xf numFmtId="0" fontId="20" fillId="0" borderId="10" xfId="0" applyFont="1" applyBorder="1" applyAlignment="1">
      <alignment horizontal="center" vertical="center" textRotation="90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textRotation="90" wrapText="1"/>
    </xf>
    <xf numFmtId="0" fontId="23" fillId="0" borderId="8" xfId="0" applyFont="1" applyBorder="1" applyAlignment="1">
      <alignment horizontal="center" vertical="center" textRotation="90" wrapText="1"/>
    </xf>
    <xf numFmtId="0" fontId="23" fillId="0" borderId="6" xfId="0" applyFont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3" fillId="0" borderId="7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3" fillId="0" borderId="8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textRotation="90" wrapText="1"/>
    </xf>
    <xf numFmtId="0" fontId="23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textRotation="90" wrapText="1"/>
    </xf>
    <xf numFmtId="0" fontId="23" fillId="0" borderId="8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1" fillId="0" borderId="15" xfId="0" applyFont="1" applyBorder="1" applyAlignment="1">
      <alignment vertical="center"/>
    </xf>
    <xf numFmtId="0" fontId="36" fillId="0" borderId="7" xfId="0" applyFont="1" applyBorder="1" applyAlignment="1">
      <alignment horizontal="center" vertical="center" textRotation="90"/>
    </xf>
    <xf numFmtId="0" fontId="37" fillId="0" borderId="7" xfId="0" applyFont="1" applyBorder="1" applyAlignment="1">
      <alignment horizontal="left" vertical="center"/>
    </xf>
    <xf numFmtId="0" fontId="20" fillId="0" borderId="15" xfId="0" applyFont="1" applyBorder="1" applyAlignment="1">
      <alignment vertical="center"/>
    </xf>
    <xf numFmtId="0" fontId="39" fillId="0" borderId="15" xfId="0" applyFont="1" applyBorder="1" applyAlignment="1">
      <alignment horizontal="center" vertical="top" wrapText="1"/>
    </xf>
    <xf numFmtId="0" fontId="47" fillId="0" borderId="29" xfId="1" applyFont="1" applyBorder="1" applyAlignment="1">
      <alignment horizontal="center" vertical="center" wrapText="1"/>
    </xf>
    <xf numFmtId="0" fontId="31" fillId="0" borderId="29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/>
    </xf>
    <xf numFmtId="0" fontId="48" fillId="0" borderId="7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/>
    </xf>
    <xf numFmtId="0" fontId="23" fillId="0" borderId="30" xfId="1" applyFont="1" applyBorder="1" applyAlignment="1">
      <alignment horizontal="center" vertical="center"/>
    </xf>
    <xf numFmtId="0" fontId="49" fillId="0" borderId="7" xfId="1" applyFont="1" applyBorder="1" applyAlignment="1">
      <alignment horizontal="center" vertical="center" wrapText="1"/>
    </xf>
    <xf numFmtId="0" fontId="49" fillId="0" borderId="7" xfId="1" applyFont="1" applyBorder="1" applyAlignment="1">
      <alignment horizontal="center" vertical="center" textRotation="90" wrapText="1"/>
    </xf>
    <xf numFmtId="0" fontId="23" fillId="0" borderId="7" xfId="1" applyFont="1" applyBorder="1" applyAlignment="1">
      <alignment horizontal="center" vertical="center" textRotation="90"/>
    </xf>
    <xf numFmtId="0" fontId="23" fillId="0" borderId="16" xfId="1" applyFont="1" applyBorder="1" applyAlignment="1">
      <alignment horizontal="center" vertical="center"/>
    </xf>
    <xf numFmtId="0" fontId="23" fillId="4" borderId="7" xfId="1" applyFont="1" applyFill="1" applyBorder="1" applyAlignment="1">
      <alignment horizontal="center" vertical="center"/>
    </xf>
    <xf numFmtId="0" fontId="47" fillId="0" borderId="31" xfId="1" applyFont="1" applyBorder="1" applyAlignment="1">
      <alignment horizontal="center" vertical="center"/>
    </xf>
    <xf numFmtId="0" fontId="23" fillId="2" borderId="7" xfId="1" applyFont="1" applyFill="1" applyBorder="1" applyAlignment="1">
      <alignment horizontal="center" vertical="center"/>
    </xf>
    <xf numFmtId="0" fontId="23" fillId="7" borderId="7" xfId="1" applyFont="1" applyFill="1" applyBorder="1" applyAlignment="1">
      <alignment horizontal="center" vertical="center"/>
    </xf>
    <xf numFmtId="0" fontId="47" fillId="8" borderId="7" xfId="1" applyFont="1" applyFill="1" applyBorder="1" applyAlignment="1">
      <alignment horizontal="center" vertical="center" wrapText="1"/>
    </xf>
    <xf numFmtId="0" fontId="47" fillId="6" borderId="7" xfId="1" applyFont="1" applyFill="1" applyBorder="1" applyAlignment="1">
      <alignment horizontal="center" vertical="center" wrapText="1"/>
    </xf>
    <xf numFmtId="0" fontId="47" fillId="9" borderId="7" xfId="1" applyFont="1" applyFill="1" applyBorder="1" applyAlignment="1">
      <alignment horizontal="center" vertical="center" wrapText="1"/>
    </xf>
    <xf numFmtId="0" fontId="23" fillId="10" borderId="7" xfId="1" applyFont="1" applyFill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0" fontId="48" fillId="0" borderId="24" xfId="0" applyFont="1" applyBorder="1" applyAlignment="1">
      <alignment horizontal="center" vertical="center" textRotation="90" wrapText="1"/>
    </xf>
    <xf numFmtId="0" fontId="48" fillId="0" borderId="10" xfId="0" applyFont="1" applyBorder="1" applyAlignment="1">
      <alignment horizontal="center" vertical="center" textRotation="90" wrapText="1"/>
    </xf>
    <xf numFmtId="0" fontId="48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48" fillId="0" borderId="7" xfId="0" applyFont="1" applyBorder="1" applyAlignment="1">
      <alignment horizontal="center" vertical="center" textRotation="90" wrapText="1"/>
    </xf>
    <xf numFmtId="0" fontId="8" fillId="0" borderId="15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 xr:uid="{00000000-0005-0000-0000-000001000000}"/>
  </cellStyles>
  <dxfs count="3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  <dxf>
      <font>
        <color rgb="FFFFFFFF"/>
        <name val="Arial Cyr"/>
      </font>
    </dxf>
    <dxf>
      <font>
        <color rgb="FFFFFFFF"/>
        <name val="Arial Cyr"/>
      </font>
    </dxf>
    <dxf>
      <font>
        <color rgb="FFFFFFFF"/>
        <name val="Arial Cyr"/>
      </font>
    </dxf>
    <dxf>
      <font>
        <color rgb="FFFFFFFF"/>
        <name val="Arial Cyr"/>
      </font>
    </dxf>
    <dxf>
      <font>
        <color rgb="FFFFFFFF"/>
        <name val="Arial Cyr"/>
      </font>
    </dxf>
    <dxf>
      <font>
        <color rgb="FFFFFFFF"/>
        <name val="Arial Cyr"/>
      </font>
    </dxf>
    <dxf>
      <font>
        <color rgb="FFFFFFFF"/>
        <name val="Arial Cyr"/>
      </font>
    </dxf>
    <dxf>
      <font>
        <color rgb="FFFFFFFF"/>
        <name val="Arial Cyr"/>
      </font>
    </dxf>
    <dxf>
      <font>
        <color rgb="FFFFFFFF"/>
        <name val="Arial Cyr"/>
      </font>
    </dxf>
    <dxf>
      <font>
        <color rgb="FFFFFFFF"/>
        <name val="Arial Cyr"/>
      </font>
    </dxf>
    <dxf>
      <fill>
        <patternFill>
          <bgColor rgb="FFFF0000"/>
        </patternFill>
      </fill>
    </dxf>
    <dxf>
      <font>
        <color rgb="FFFFFFFF"/>
        <name val="Arial Cyr"/>
      </font>
    </dxf>
    <dxf>
      <font>
        <color rgb="FFFFFFFF"/>
        <name val="Arial Cyr"/>
      </font>
    </dxf>
    <dxf>
      <font>
        <color rgb="FFFFFFFF"/>
        <name val="Arial Cyr"/>
      </font>
    </dxf>
    <dxf>
      <font>
        <color rgb="FFFFFFFF"/>
        <name val="Arial Cyr"/>
      </font>
    </dxf>
    <dxf>
      <font>
        <b/>
        <i val="0"/>
        <color rgb="FFFF0000"/>
        <name val="Arial Cyr"/>
      </font>
    </dxf>
    <dxf>
      <font>
        <b/>
        <i val="0"/>
        <color rgb="FFFF0000"/>
        <name val="Arial Cyr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A6A6A6"/>
      <rgbColor rgb="FF003366"/>
      <rgbColor rgb="FF00B050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64"/>
  <sheetViews>
    <sheetView topLeftCell="A10" zoomScale="85" zoomScaleNormal="85" workbookViewId="0">
      <selection activeCell="AS17" sqref="AS17"/>
    </sheetView>
  </sheetViews>
  <sheetFormatPr defaultColWidth="9" defaultRowHeight="25.5" x14ac:dyDescent="0.35"/>
  <cols>
    <col min="1" max="1" width="2.28515625" customWidth="1"/>
    <col min="2" max="7" width="2.85546875" customWidth="1"/>
    <col min="8" max="52" width="2.85546875" style="1" customWidth="1"/>
    <col min="53" max="53" width="4.28515625" style="1" customWidth="1"/>
    <col min="54" max="74" width="2.85546875" style="1" customWidth="1"/>
    <col min="75" max="75" width="42.85546875" customWidth="1"/>
    <col min="76" max="76" width="39" customWidth="1"/>
    <col min="77" max="77" width="42.7109375" customWidth="1"/>
    <col min="78" max="86" width="2.28515625" customWidth="1"/>
  </cols>
  <sheetData>
    <row r="1" spans="1:73" ht="21.75" customHeight="1" x14ac:dyDescent="0.35"/>
    <row r="2" spans="1:73" ht="21.75" customHeight="1" x14ac:dyDescent="0.35"/>
    <row r="3" spans="1:73" ht="21.75" customHeight="1" x14ac:dyDescent="0.35"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</row>
    <row r="4" spans="1:73" ht="21.75" customHeight="1" x14ac:dyDescent="0.35">
      <c r="A4" s="2"/>
      <c r="B4" s="2"/>
      <c r="C4" s="2"/>
      <c r="D4" s="3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4"/>
      <c r="AK4" s="5"/>
      <c r="AL4" s="5"/>
      <c r="AM4" s="5"/>
      <c r="AN4" s="5"/>
      <c r="AO4" s="5"/>
      <c r="AP4" s="289" t="s">
        <v>0</v>
      </c>
      <c r="AQ4" s="289"/>
      <c r="AR4" s="289"/>
      <c r="AS4" s="289"/>
      <c r="AT4" s="289"/>
      <c r="AU4" s="289"/>
      <c r="AV4" s="289"/>
      <c r="AW4" s="289"/>
      <c r="AX4" s="289"/>
      <c r="AY4" s="289"/>
      <c r="AZ4" s="289"/>
      <c r="BA4" s="289"/>
      <c r="BB4" s="289"/>
      <c r="BC4" s="289"/>
      <c r="BD4" s="289"/>
      <c r="BE4" s="289"/>
      <c r="BF4" s="289"/>
      <c r="BG4" s="289"/>
      <c r="BH4" s="289"/>
      <c r="BI4" s="289"/>
      <c r="BJ4" s="289"/>
      <c r="BK4" s="289"/>
      <c r="BL4" s="289"/>
      <c r="BM4" s="289"/>
      <c r="BN4" s="289"/>
      <c r="BO4" s="289"/>
      <c r="BP4" s="289"/>
      <c r="BQ4" s="289"/>
      <c r="BR4" s="289"/>
      <c r="BS4" s="289"/>
      <c r="BT4" s="289"/>
      <c r="BU4" s="289"/>
    </row>
    <row r="5" spans="1:73" ht="53.25" customHeight="1" x14ac:dyDescent="0.35">
      <c r="A5" s="2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4"/>
      <c r="AK5" s="290" t="s">
        <v>1</v>
      </c>
      <c r="AL5" s="290"/>
      <c r="AM5" s="290"/>
      <c r="AN5" s="290"/>
      <c r="AO5" s="290"/>
      <c r="AP5" s="290"/>
      <c r="AQ5" s="290"/>
      <c r="AR5" s="290"/>
      <c r="AS5" s="290"/>
      <c r="AT5" s="290"/>
      <c r="AU5" s="290"/>
      <c r="AV5" s="290"/>
      <c r="AW5" s="290"/>
      <c r="AX5" s="290"/>
      <c r="AY5" s="290"/>
      <c r="AZ5" s="290"/>
      <c r="BA5" s="290"/>
      <c r="BB5" s="290"/>
      <c r="BC5" s="290"/>
      <c r="BD5" s="290"/>
      <c r="BE5" s="290"/>
      <c r="BF5" s="290"/>
      <c r="BG5" s="290"/>
      <c r="BH5" s="290"/>
      <c r="BI5" s="290"/>
      <c r="BJ5" s="290"/>
      <c r="BK5" s="290"/>
      <c r="BL5" s="290"/>
      <c r="BM5" s="290"/>
      <c r="BN5" s="290"/>
      <c r="BO5" s="290"/>
      <c r="BP5" s="290"/>
      <c r="BQ5" s="290"/>
      <c r="BR5" s="290"/>
      <c r="BS5" s="290"/>
      <c r="BT5" s="290"/>
      <c r="BU5" s="290"/>
    </row>
    <row r="6" spans="1:73" ht="21.75" customHeight="1" x14ac:dyDescent="0.35">
      <c r="A6" s="2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4"/>
      <c r="AK6" s="5"/>
      <c r="AL6" s="5"/>
      <c r="AM6" s="5"/>
      <c r="AN6" s="5"/>
      <c r="AO6" s="5"/>
      <c r="AP6" s="289" t="s">
        <v>2</v>
      </c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  <c r="BG6" s="289"/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</row>
    <row r="7" spans="1:73" ht="21.75" customHeight="1" x14ac:dyDescent="0.35">
      <c r="A7" s="2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4"/>
      <c r="AK7" s="5"/>
      <c r="AL7" s="5"/>
      <c r="AM7" s="5"/>
      <c r="AN7" s="5"/>
      <c r="AO7" s="5"/>
      <c r="AP7" s="291"/>
      <c r="AQ7" s="291"/>
      <c r="AR7" s="291"/>
      <c r="AS7" s="291"/>
      <c r="AT7" s="291"/>
      <c r="AU7" s="291"/>
      <c r="AV7" s="291"/>
      <c r="AW7" s="291"/>
      <c r="AX7" s="291"/>
      <c r="AY7" s="291"/>
      <c r="AZ7" s="291"/>
      <c r="BA7" s="291"/>
      <c r="BB7" s="291"/>
      <c r="BC7" s="291"/>
      <c r="BD7" s="291"/>
      <c r="BE7" s="291"/>
      <c r="BF7" s="291"/>
      <c r="BG7" s="291"/>
      <c r="BH7" s="291"/>
      <c r="BI7" s="291"/>
      <c r="BJ7" s="291"/>
      <c r="BK7" s="291"/>
      <c r="BL7" s="291"/>
      <c r="BM7" s="291"/>
      <c r="BN7" s="291"/>
      <c r="BO7" s="291"/>
      <c r="BP7" s="291"/>
      <c r="BQ7" s="291"/>
      <c r="BR7" s="291"/>
      <c r="BS7" s="291"/>
      <c r="BT7" s="291"/>
      <c r="BU7" s="291"/>
    </row>
    <row r="8" spans="1:73" ht="21.75" customHeight="1" x14ac:dyDescent="0.4">
      <c r="A8" s="2"/>
      <c r="B8" s="2"/>
      <c r="C8" s="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3"/>
      <c r="V8" s="3"/>
      <c r="W8" s="3"/>
      <c r="X8" s="3"/>
      <c r="Y8" s="3"/>
      <c r="Z8" s="6"/>
      <c r="AA8" s="3"/>
      <c r="AB8" s="6"/>
      <c r="AC8" s="6"/>
      <c r="AD8" s="6"/>
      <c r="AE8" s="7"/>
      <c r="AF8" s="8"/>
      <c r="AG8" s="8"/>
      <c r="AH8" s="8"/>
      <c r="AI8" s="8"/>
      <c r="AJ8" s="8"/>
      <c r="AK8" s="9"/>
      <c r="AL8" s="9"/>
      <c r="AM8" s="9"/>
      <c r="AN8" s="9"/>
      <c r="AO8" s="9"/>
      <c r="AP8" s="289" t="s">
        <v>3</v>
      </c>
      <c r="AQ8" s="289"/>
      <c r="AR8" s="289"/>
      <c r="AS8" s="289"/>
      <c r="AT8" s="289"/>
      <c r="AU8" s="289"/>
      <c r="AV8" s="289"/>
      <c r="AW8" s="289"/>
      <c r="AX8" s="289"/>
      <c r="AY8" s="289"/>
      <c r="AZ8" s="289"/>
      <c r="BA8" s="289"/>
      <c r="BB8" s="289"/>
      <c r="BC8" s="289"/>
      <c r="BD8" s="289"/>
      <c r="BE8" s="289"/>
      <c r="BF8" s="289"/>
      <c r="BG8" s="289"/>
      <c r="BH8" s="289"/>
      <c r="BI8" s="289"/>
      <c r="BJ8" s="289"/>
      <c r="BK8" s="289"/>
      <c r="BL8" s="289"/>
      <c r="BM8" s="289"/>
      <c r="BN8" s="289"/>
      <c r="BO8" s="289"/>
      <c r="BP8" s="289"/>
      <c r="BQ8" s="289"/>
      <c r="BR8" s="289"/>
      <c r="BS8" s="289"/>
      <c r="BT8" s="289"/>
      <c r="BU8" s="289"/>
    </row>
    <row r="9" spans="1:73" ht="21.75" customHeight="1" x14ac:dyDescent="0.4">
      <c r="A9" s="2"/>
      <c r="B9" s="2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10"/>
      <c r="V9" s="10"/>
      <c r="W9" s="10"/>
      <c r="X9" s="10"/>
      <c r="Y9" s="10"/>
      <c r="Z9" s="10"/>
      <c r="AA9" s="10"/>
      <c r="AB9" s="10"/>
      <c r="AC9" s="10"/>
      <c r="AD9" s="10"/>
      <c r="AE9" s="11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</row>
    <row r="10" spans="1:73" ht="21.75" customHeight="1" x14ac:dyDescent="0.4">
      <c r="A10" s="2"/>
      <c r="B10" s="2"/>
      <c r="C10" s="2"/>
      <c r="D10" s="2"/>
      <c r="E10" s="2"/>
      <c r="F10" s="2"/>
      <c r="G10" s="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</row>
    <row r="11" spans="1:73" ht="21.75" customHeight="1" x14ac:dyDescent="0.4">
      <c r="A11" s="2"/>
      <c r="B11" s="2"/>
      <c r="C11" s="2"/>
      <c r="D11" s="2"/>
      <c r="E11" s="2"/>
      <c r="F11" s="2"/>
      <c r="G11" s="2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</row>
    <row r="12" spans="1:73" ht="21.75" customHeight="1" x14ac:dyDescent="0.4">
      <c r="A12" s="2"/>
      <c r="B12" s="2"/>
      <c r="C12" s="2"/>
      <c r="D12" s="2"/>
      <c r="E12" s="2"/>
      <c r="F12" s="2"/>
      <c r="G12" s="2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</row>
    <row r="13" spans="1:73" ht="21.75" customHeight="1" x14ac:dyDescent="0.4">
      <c r="A13" s="2"/>
      <c r="B13" s="2"/>
      <c r="C13" s="2"/>
      <c r="D13" s="2"/>
      <c r="E13" s="2"/>
      <c r="F13" s="2"/>
      <c r="G13" s="2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</row>
    <row r="14" spans="1:73" ht="21.75" customHeight="1" x14ac:dyDescent="0.4">
      <c r="A14" s="2"/>
      <c r="B14" s="2"/>
      <c r="C14" s="2"/>
      <c r="D14" s="2"/>
      <c r="E14" s="2"/>
      <c r="F14" s="2"/>
      <c r="G14" s="2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</row>
    <row r="15" spans="1:73" ht="21.75" customHeight="1" x14ac:dyDescent="0.4">
      <c r="A15" s="2"/>
      <c r="B15" s="2"/>
      <c r="C15" s="2"/>
      <c r="D15" s="2"/>
      <c r="E15" s="2"/>
      <c r="F15" s="2"/>
      <c r="G15" s="2"/>
      <c r="Q15" s="293" t="s">
        <v>4</v>
      </c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3"/>
      <c r="AP15" s="293"/>
      <c r="AQ15" s="293"/>
      <c r="AR15" s="293"/>
      <c r="AS15" s="293"/>
      <c r="AT15" s="293"/>
      <c r="AU15" s="293"/>
      <c r="AV15" s="293"/>
      <c r="AW15" s="293"/>
      <c r="AX15" s="293"/>
      <c r="AY15" s="293"/>
      <c r="AZ15" s="293"/>
      <c r="BA15" s="293"/>
      <c r="BB15" s="293"/>
      <c r="BC15" s="293"/>
      <c r="BD15" s="293"/>
      <c r="BE15" s="14"/>
      <c r="BF15" s="14"/>
      <c r="BG15" s="14"/>
      <c r="BH15" s="14"/>
      <c r="BI15" s="14"/>
      <c r="BJ15" s="14"/>
      <c r="BK15" s="14"/>
    </row>
    <row r="16" spans="1:73" ht="130.5" customHeight="1" x14ac:dyDescent="0.35">
      <c r="A16" s="2"/>
      <c r="B16" s="2"/>
      <c r="C16" s="2"/>
      <c r="D16" s="2"/>
      <c r="E16" s="2"/>
      <c r="F16" s="2"/>
      <c r="G16" s="2"/>
      <c r="Q16" s="294" t="s">
        <v>5</v>
      </c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294"/>
      <c r="AX16" s="294"/>
      <c r="AY16" s="294"/>
      <c r="AZ16" s="294"/>
      <c r="BA16" s="294"/>
      <c r="BB16" s="294"/>
      <c r="BC16" s="294"/>
      <c r="BD16" s="294"/>
      <c r="BE16" s="15"/>
      <c r="BF16" s="15"/>
      <c r="BG16" s="15"/>
      <c r="BH16" s="15"/>
      <c r="BI16" s="15"/>
      <c r="BJ16" s="15"/>
      <c r="BK16" s="15"/>
    </row>
    <row r="17" spans="1:73" ht="21.75" customHeight="1" x14ac:dyDescent="0.35">
      <c r="A17" s="16"/>
    </row>
    <row r="18" spans="1:73" ht="21.75" customHeight="1" x14ac:dyDescent="0.35">
      <c r="A18" s="16"/>
    </row>
    <row r="19" spans="1:73" ht="21.75" customHeight="1" x14ac:dyDescent="0.35">
      <c r="A19" s="16"/>
    </row>
    <row r="20" spans="1:73" ht="21.75" customHeight="1" x14ac:dyDescent="0.35">
      <c r="A20" s="16"/>
    </row>
    <row r="21" spans="1:73" ht="54.75" customHeight="1" x14ac:dyDescent="0.35">
      <c r="A21" s="16"/>
    </row>
    <row r="22" spans="1:73" ht="21.75" customHeight="1" x14ac:dyDescent="0.35">
      <c r="A22" s="16"/>
    </row>
    <row r="23" spans="1:73" ht="21.75" customHeight="1" x14ac:dyDescent="0.35">
      <c r="A23" s="16"/>
      <c r="AT23" s="295" t="s">
        <v>6</v>
      </c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18"/>
    </row>
    <row r="24" spans="1:73" ht="21.75" customHeight="1" x14ac:dyDescent="0.35">
      <c r="AT24" s="295" t="s">
        <v>7</v>
      </c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18"/>
    </row>
    <row r="25" spans="1:73" ht="21.75" customHeight="1" x14ac:dyDescent="0.35">
      <c r="A25" s="19"/>
      <c r="B25" s="19"/>
      <c r="C25" s="19"/>
      <c r="D25" s="19"/>
      <c r="E25" s="19"/>
      <c r="F25" s="19"/>
      <c r="G25" s="19"/>
      <c r="AT25" s="295" t="s">
        <v>8</v>
      </c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18"/>
    </row>
    <row r="26" spans="1:73" ht="21.75" customHeight="1" x14ac:dyDescent="0.35">
      <c r="A26" s="19"/>
      <c r="B26" s="19"/>
      <c r="C26" s="19"/>
      <c r="D26" s="19"/>
      <c r="E26" s="19"/>
      <c r="F26" s="19"/>
      <c r="G26" s="19"/>
      <c r="AT26" s="295" t="s">
        <v>9</v>
      </c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</row>
    <row r="27" spans="1:73" ht="21.75" customHeight="1" x14ac:dyDescent="0.35">
      <c r="A27" s="19"/>
      <c r="B27" s="19"/>
      <c r="C27" s="19"/>
      <c r="D27" s="19"/>
      <c r="E27" s="19"/>
      <c r="F27" s="19"/>
      <c r="G27" s="19"/>
      <c r="AT27" s="295" t="s">
        <v>10</v>
      </c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18"/>
    </row>
    <row r="28" spans="1:73" ht="21.75" customHeight="1" x14ac:dyDescent="0.35">
      <c r="A28" s="19"/>
      <c r="B28" s="19"/>
      <c r="C28" s="19"/>
      <c r="D28" s="19"/>
      <c r="E28" s="19"/>
      <c r="F28" s="19"/>
      <c r="G28" s="19"/>
      <c r="AT28" s="295" t="s">
        <v>11</v>
      </c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18"/>
    </row>
    <row r="29" spans="1:73" ht="21.75" customHeight="1" x14ac:dyDescent="0.35">
      <c r="A29" s="19"/>
      <c r="B29" s="19"/>
      <c r="C29" s="19"/>
      <c r="D29" s="19"/>
      <c r="E29" s="19"/>
      <c r="F29" s="19"/>
      <c r="G29" s="19"/>
    </row>
    <row r="30" spans="1:73" ht="21.75" customHeight="1" x14ac:dyDescent="0.35">
      <c r="A30" s="19"/>
      <c r="B30" s="19"/>
      <c r="C30" s="19"/>
      <c r="D30" s="19"/>
      <c r="E30" s="19"/>
      <c r="F30" s="19"/>
      <c r="G30" s="19"/>
    </row>
    <row r="31" spans="1:73" ht="21.75" customHeight="1" x14ac:dyDescent="0.35">
      <c r="A31" s="19"/>
      <c r="B31" s="19"/>
      <c r="C31" s="19"/>
      <c r="D31" s="19"/>
      <c r="E31" s="19"/>
      <c r="F31" s="19"/>
      <c r="G31" s="19"/>
    </row>
    <row r="32" spans="1:73" ht="21.75" customHeight="1" x14ac:dyDescent="0.35">
      <c r="A32" s="19"/>
      <c r="B32" s="19"/>
      <c r="C32" s="19"/>
      <c r="D32" s="19"/>
      <c r="E32" s="19"/>
      <c r="F32" s="19"/>
      <c r="G32" s="19"/>
    </row>
    <row r="33" spans="1:7" ht="21.75" customHeight="1" x14ac:dyDescent="0.35">
      <c r="A33" s="19"/>
      <c r="B33" s="19"/>
      <c r="C33" s="19"/>
      <c r="D33" s="19"/>
      <c r="E33" s="19"/>
      <c r="F33" s="19"/>
      <c r="G33" s="19"/>
    </row>
    <row r="34" spans="1:7" ht="21.75" customHeight="1" x14ac:dyDescent="0.35">
      <c r="A34" s="19"/>
      <c r="B34" s="19"/>
      <c r="C34" s="19"/>
      <c r="D34" s="19"/>
      <c r="E34" s="19"/>
      <c r="F34" s="19"/>
      <c r="G34" s="19"/>
    </row>
    <row r="35" spans="1:7" ht="21.75" customHeight="1" x14ac:dyDescent="0.35">
      <c r="A35" s="19"/>
      <c r="B35" s="19"/>
      <c r="C35" s="19"/>
      <c r="D35" s="19"/>
      <c r="E35" s="19"/>
      <c r="F35" s="19"/>
      <c r="G35" s="19"/>
    </row>
    <row r="36" spans="1:7" ht="21.75" customHeight="1" x14ac:dyDescent="0.35">
      <c r="A36" s="19"/>
      <c r="B36" s="19"/>
      <c r="C36" s="19"/>
      <c r="D36" s="19"/>
      <c r="E36" s="19"/>
      <c r="F36" s="19"/>
      <c r="G36" s="19"/>
    </row>
    <row r="37" spans="1:7" ht="21.75" customHeight="1" x14ac:dyDescent="0.35">
      <c r="A37" s="19"/>
      <c r="B37" s="19"/>
      <c r="C37" s="19"/>
      <c r="D37" s="19"/>
      <c r="E37" s="19"/>
      <c r="F37" s="19"/>
      <c r="G37" s="19"/>
    </row>
    <row r="38" spans="1:7" ht="21.75" customHeight="1" x14ac:dyDescent="0.35">
      <c r="A38" s="19"/>
      <c r="B38" s="19"/>
      <c r="C38" s="19"/>
      <c r="D38" s="19"/>
      <c r="E38" s="19"/>
      <c r="F38" s="19"/>
      <c r="G38" s="19"/>
    </row>
    <row r="39" spans="1:7" ht="21.75" customHeight="1" x14ac:dyDescent="0.35">
      <c r="A39" s="19"/>
      <c r="B39" s="19"/>
      <c r="C39" s="19"/>
      <c r="D39" s="19"/>
      <c r="E39" s="19"/>
      <c r="F39" s="19"/>
      <c r="G39" s="19"/>
    </row>
    <row r="40" spans="1:7" ht="21.75" customHeight="1" x14ac:dyDescent="0.35">
      <c r="A40" s="19"/>
      <c r="B40" s="19"/>
      <c r="C40" s="19"/>
      <c r="D40" s="19"/>
      <c r="E40" s="19"/>
      <c r="F40" s="19"/>
      <c r="G40" s="19"/>
    </row>
    <row r="41" spans="1:7" ht="21.75" customHeight="1" x14ac:dyDescent="0.35">
      <c r="A41" s="19"/>
      <c r="B41" s="19"/>
      <c r="C41" s="19"/>
      <c r="D41" s="19"/>
      <c r="E41" s="19"/>
      <c r="F41" s="19"/>
      <c r="G41" s="19"/>
    </row>
    <row r="42" spans="1:7" ht="21.75" customHeight="1" x14ac:dyDescent="0.35">
      <c r="A42" s="19"/>
      <c r="B42" s="19"/>
      <c r="C42" s="19"/>
      <c r="D42" s="19"/>
      <c r="E42" s="19"/>
      <c r="F42" s="19"/>
      <c r="G42" s="19"/>
    </row>
    <row r="43" spans="1:7" ht="21.75" customHeight="1" x14ac:dyDescent="0.35">
      <c r="A43" s="19"/>
      <c r="B43" s="19"/>
      <c r="C43" s="19"/>
      <c r="D43" s="19"/>
      <c r="E43" s="19"/>
      <c r="F43" s="19"/>
      <c r="G43" s="19"/>
    </row>
    <row r="44" spans="1:7" ht="21.75" customHeight="1" x14ac:dyDescent="0.35">
      <c r="A44" s="19"/>
      <c r="B44" s="19"/>
      <c r="C44" s="19"/>
      <c r="D44" s="19"/>
      <c r="E44" s="19"/>
      <c r="F44" s="19"/>
      <c r="G44" s="19"/>
    </row>
    <row r="45" spans="1:7" ht="21.75" customHeight="1" x14ac:dyDescent="0.35">
      <c r="A45" s="19"/>
      <c r="B45" s="19"/>
      <c r="C45" s="19"/>
      <c r="D45" s="19"/>
      <c r="E45" s="19"/>
      <c r="F45" s="19"/>
      <c r="G45" s="19"/>
    </row>
    <row r="46" spans="1:7" ht="21.75" customHeight="1" x14ac:dyDescent="0.35">
      <c r="A46" s="19"/>
      <c r="B46" s="19"/>
      <c r="C46" s="19"/>
      <c r="D46" s="19"/>
      <c r="E46" s="19"/>
      <c r="F46" s="19"/>
      <c r="G46" s="19"/>
    </row>
    <row r="47" spans="1:7" ht="21.75" customHeight="1" x14ac:dyDescent="0.35">
      <c r="A47" s="19"/>
      <c r="B47" s="19"/>
      <c r="C47" s="19"/>
      <c r="D47" s="19"/>
      <c r="E47" s="19"/>
      <c r="F47" s="19"/>
      <c r="G47" s="19"/>
    </row>
    <row r="48" spans="1:7" ht="21.75" customHeight="1" x14ac:dyDescent="0.35">
      <c r="A48" s="19"/>
      <c r="B48" s="19"/>
      <c r="C48" s="19"/>
      <c r="D48" s="19"/>
      <c r="E48" s="19"/>
      <c r="F48" s="19"/>
      <c r="G48" s="19"/>
    </row>
    <row r="49" spans="1:7" ht="21.75" customHeight="1" x14ac:dyDescent="0.35">
      <c r="A49" s="19"/>
      <c r="B49" s="19"/>
      <c r="C49" s="19"/>
      <c r="D49" s="19"/>
      <c r="E49" s="19"/>
      <c r="F49" s="19"/>
      <c r="G49" s="19"/>
    </row>
    <row r="50" spans="1:7" ht="21.75" customHeight="1" x14ac:dyDescent="0.35">
      <c r="A50" s="19"/>
      <c r="B50" s="19"/>
      <c r="C50" s="19"/>
      <c r="D50" s="19"/>
      <c r="E50" s="19"/>
      <c r="F50" s="19"/>
      <c r="G50" s="19"/>
    </row>
    <row r="51" spans="1:7" ht="21.75" customHeight="1" x14ac:dyDescent="0.35">
      <c r="A51" s="19"/>
      <c r="B51" s="19"/>
      <c r="C51" s="19"/>
      <c r="D51" s="19"/>
      <c r="E51" s="19"/>
      <c r="F51" s="19"/>
      <c r="G51" s="19"/>
    </row>
    <row r="52" spans="1:7" ht="21.75" customHeight="1" x14ac:dyDescent="0.35">
      <c r="A52" s="19"/>
      <c r="B52" s="19"/>
      <c r="C52" s="19"/>
      <c r="D52" s="19"/>
      <c r="E52" s="19"/>
      <c r="F52" s="19"/>
      <c r="G52" s="19"/>
    </row>
    <row r="53" spans="1:7" ht="21.75" customHeight="1" x14ac:dyDescent="0.35">
      <c r="A53" s="19"/>
      <c r="B53" s="19"/>
      <c r="C53" s="19"/>
      <c r="D53" s="19"/>
      <c r="E53" s="19"/>
      <c r="F53" s="19"/>
      <c r="G53" s="19"/>
    </row>
    <row r="54" spans="1:7" ht="21.75" customHeight="1" x14ac:dyDescent="0.35"/>
    <row r="63" spans="1:7" ht="11.25" customHeight="1" x14ac:dyDescent="0.35"/>
    <row r="64" spans="1:7" ht="12.75" customHeight="1" x14ac:dyDescent="0.35"/>
  </sheetData>
  <mergeCells count="15">
    <mergeCell ref="AT24:BT24"/>
    <mergeCell ref="AT25:BT25"/>
    <mergeCell ref="AT26:BU26"/>
    <mergeCell ref="AT27:BT27"/>
    <mergeCell ref="AT28:BT28"/>
    <mergeCell ref="D8:T8"/>
    <mergeCell ref="AP8:BU8"/>
    <mergeCell ref="Q15:BD15"/>
    <mergeCell ref="Q16:BD16"/>
    <mergeCell ref="AT23:BT23"/>
    <mergeCell ref="E3:R4"/>
    <mergeCell ref="AP4:BU4"/>
    <mergeCell ref="AK5:BU5"/>
    <mergeCell ref="AP6:BU6"/>
    <mergeCell ref="AP7:BU7"/>
  </mergeCells>
  <printOptions gridLines="1"/>
  <pageMargins left="0.78749999999999998" right="0.22013888888888899" top="0.39374999999999999" bottom="0.196527777777778" header="0.511811023622047" footer="0.511811023622047"/>
  <pageSetup paperSize="9" fitToHeight="0" orientation="landscape" horizontalDpi="300" verticalDpi="300"/>
  <colBreaks count="1" manualBreakCount="1">
    <brk id="7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331"/>
  <sheetViews>
    <sheetView zoomScale="85" zoomScaleNormal="85" workbookViewId="0">
      <pane xSplit="3" ySplit="7" topLeftCell="D26" activePane="bottomRight" state="frozen"/>
      <selection pane="topRight" activeCell="E1" sqref="E1"/>
      <selection pane="bottomLeft" activeCell="A8" sqref="A8"/>
      <selection pane="bottomRight" activeCell="B28" sqref="B28"/>
    </sheetView>
  </sheetViews>
  <sheetFormatPr defaultColWidth="9" defaultRowHeight="12.75" x14ac:dyDescent="0.2"/>
  <cols>
    <col min="1" max="1" width="11.42578125" style="20" customWidth="1"/>
    <col min="2" max="2" width="55.140625" style="20" customWidth="1"/>
    <col min="3" max="3" width="16.140625" customWidth="1"/>
    <col min="4" max="6" width="7" customWidth="1"/>
    <col min="7" max="7" width="7" style="21" customWidth="1"/>
    <col min="8" max="15" width="7" customWidth="1"/>
    <col min="16" max="53" width="5.7109375" customWidth="1"/>
  </cols>
  <sheetData>
    <row r="1" spans="1:57" ht="14.25" x14ac:dyDescent="0.2">
      <c r="A1" s="22"/>
      <c r="B1" s="22"/>
      <c r="C1" s="4"/>
      <c r="D1" s="4"/>
      <c r="E1" s="4"/>
      <c r="F1" s="4"/>
      <c r="G1" s="2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57" ht="15" x14ac:dyDescent="0.25">
      <c r="A2" s="24"/>
      <c r="B2" s="25" t="s">
        <v>12</v>
      </c>
      <c r="C2" s="26"/>
      <c r="D2" s="26"/>
      <c r="E2" s="26"/>
      <c r="F2" s="26"/>
      <c r="G2" s="27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8"/>
      <c r="AS2" s="28"/>
      <c r="AT2" s="28"/>
      <c r="AU2" s="28"/>
      <c r="AV2" s="28"/>
      <c r="AW2" s="28"/>
      <c r="AX2" s="28"/>
      <c r="AY2" s="28"/>
      <c r="AZ2" s="28"/>
      <c r="BA2" s="28"/>
    </row>
    <row r="3" spans="1:57" ht="30.75" customHeight="1" x14ac:dyDescent="0.2">
      <c r="A3" s="296" t="s">
        <v>13</v>
      </c>
      <c r="B3" s="297" t="s">
        <v>14</v>
      </c>
      <c r="C3" s="298" t="s">
        <v>15</v>
      </c>
      <c r="D3" s="299" t="s">
        <v>16</v>
      </c>
      <c r="E3" s="299"/>
      <c r="F3" s="299"/>
      <c r="G3" s="300" t="s">
        <v>17</v>
      </c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  <c r="AJ3" s="300"/>
      <c r="AK3" s="300"/>
      <c r="AL3" s="300"/>
      <c r="AM3" s="300"/>
      <c r="AN3" s="300"/>
      <c r="AO3" s="300"/>
      <c r="AP3" s="300"/>
      <c r="AQ3" s="300"/>
      <c r="AR3" s="300"/>
      <c r="AS3" s="300"/>
      <c r="AT3" s="300"/>
      <c r="AU3" s="300"/>
      <c r="AV3" s="300"/>
      <c r="AW3" s="300"/>
      <c r="AX3" s="300"/>
      <c r="AY3" s="300"/>
      <c r="AZ3" s="300"/>
      <c r="BA3" s="300"/>
      <c r="BB3" s="29"/>
      <c r="BC3" s="29"/>
      <c r="BD3" s="29"/>
      <c r="BE3" s="29"/>
    </row>
    <row r="4" spans="1:57" ht="31.5" customHeight="1" x14ac:dyDescent="0.2">
      <c r="A4" s="296"/>
      <c r="B4" s="297"/>
      <c r="C4" s="298"/>
      <c r="D4" s="301" t="s">
        <v>18</v>
      </c>
      <c r="E4" s="302" t="s">
        <v>19</v>
      </c>
      <c r="F4" s="303" t="s">
        <v>20</v>
      </c>
      <c r="G4" s="304" t="s">
        <v>21</v>
      </c>
      <c r="H4" s="305" t="s">
        <v>22</v>
      </c>
      <c r="I4" s="306" t="s">
        <v>23</v>
      </c>
      <c r="J4" s="306"/>
      <c r="K4" s="306"/>
      <c r="L4" s="306"/>
      <c r="M4" s="306"/>
      <c r="N4" s="307" t="s">
        <v>24</v>
      </c>
      <c r="O4" s="307"/>
      <c r="P4" s="308" t="s">
        <v>25</v>
      </c>
      <c r="Q4" s="308"/>
      <c r="R4" s="308"/>
      <c r="S4" s="308"/>
      <c r="T4" s="308"/>
      <c r="U4" s="308"/>
      <c r="V4" s="308"/>
      <c r="W4" s="308"/>
      <c r="X4" s="309" t="s">
        <v>26</v>
      </c>
      <c r="Y4" s="309"/>
      <c r="Z4" s="309"/>
      <c r="AA4" s="309"/>
      <c r="AB4" s="309"/>
      <c r="AC4" s="309"/>
      <c r="AD4" s="309"/>
      <c r="AE4" s="309"/>
      <c r="AF4" s="309"/>
      <c r="AG4" s="309"/>
      <c r="AH4" s="310" t="s">
        <v>27</v>
      </c>
      <c r="AI4" s="310"/>
      <c r="AJ4" s="310"/>
      <c r="AK4" s="310"/>
      <c r="AL4" s="310"/>
      <c r="AM4" s="310"/>
      <c r="AN4" s="310"/>
      <c r="AO4" s="310"/>
      <c r="AP4" s="310"/>
      <c r="AQ4" s="310"/>
      <c r="AR4" s="311" t="s">
        <v>28</v>
      </c>
      <c r="AS4" s="311"/>
      <c r="AT4" s="311"/>
      <c r="AU4" s="311"/>
      <c r="AV4" s="311"/>
      <c r="AW4" s="311"/>
      <c r="AX4" s="311"/>
      <c r="AY4" s="311"/>
      <c r="AZ4" s="311"/>
      <c r="BA4" s="311"/>
    </row>
    <row r="5" spans="1:57" ht="31.5" customHeight="1" x14ac:dyDescent="0.2">
      <c r="A5" s="296"/>
      <c r="B5" s="297"/>
      <c r="C5" s="298"/>
      <c r="D5" s="301"/>
      <c r="E5" s="302"/>
      <c r="F5" s="303"/>
      <c r="G5" s="304"/>
      <c r="H5" s="305"/>
      <c r="I5" s="312" t="s">
        <v>29</v>
      </c>
      <c r="J5" s="312" t="s">
        <v>30</v>
      </c>
      <c r="K5" s="312" t="s">
        <v>31</v>
      </c>
      <c r="L5" s="312" t="s">
        <v>32</v>
      </c>
      <c r="M5" s="313" t="s">
        <v>33</v>
      </c>
      <c r="N5" s="314" t="s">
        <v>34</v>
      </c>
      <c r="O5" s="313" t="s">
        <v>35</v>
      </c>
      <c r="P5" s="315" t="s">
        <v>36</v>
      </c>
      <c r="Q5" s="316" t="s">
        <v>23</v>
      </c>
      <c r="R5" s="316"/>
      <c r="S5" s="316"/>
      <c r="T5" s="317" t="s">
        <v>37</v>
      </c>
      <c r="U5" s="318" t="s">
        <v>23</v>
      </c>
      <c r="V5" s="318"/>
      <c r="W5" s="318"/>
      <c r="X5" s="319" t="s">
        <v>38</v>
      </c>
      <c r="Y5" s="320" t="s">
        <v>23</v>
      </c>
      <c r="Z5" s="320"/>
      <c r="AA5" s="320"/>
      <c r="AB5" s="320"/>
      <c r="AC5" s="321" t="s">
        <v>39</v>
      </c>
      <c r="AD5" s="322" t="s">
        <v>23</v>
      </c>
      <c r="AE5" s="322"/>
      <c r="AF5" s="322"/>
      <c r="AG5" s="322"/>
      <c r="AH5" s="319" t="s">
        <v>40</v>
      </c>
      <c r="AI5" s="320" t="s">
        <v>23</v>
      </c>
      <c r="AJ5" s="320"/>
      <c r="AK5" s="320"/>
      <c r="AL5" s="320"/>
      <c r="AM5" s="321" t="s">
        <v>41</v>
      </c>
      <c r="AN5" s="323" t="s">
        <v>23</v>
      </c>
      <c r="AO5" s="323"/>
      <c r="AP5" s="323"/>
      <c r="AQ5" s="323"/>
      <c r="AR5" s="319" t="s">
        <v>42</v>
      </c>
      <c r="AS5" s="320" t="s">
        <v>23</v>
      </c>
      <c r="AT5" s="320"/>
      <c r="AU5" s="320"/>
      <c r="AV5" s="320"/>
      <c r="AW5" s="321" t="s">
        <v>43</v>
      </c>
      <c r="AX5" s="324" t="s">
        <v>23</v>
      </c>
      <c r="AY5" s="324"/>
      <c r="AZ5" s="324"/>
      <c r="BA5" s="324"/>
      <c r="BB5" s="20"/>
      <c r="BC5" s="20"/>
      <c r="BD5" s="20"/>
      <c r="BE5" s="20"/>
    </row>
    <row r="6" spans="1:57" ht="76.5" customHeight="1" x14ac:dyDescent="0.2">
      <c r="A6" s="296"/>
      <c r="B6" s="297"/>
      <c r="C6" s="298"/>
      <c r="D6" s="301"/>
      <c r="E6" s="302"/>
      <c r="F6" s="303"/>
      <c r="G6" s="304"/>
      <c r="H6" s="305"/>
      <c r="I6" s="312"/>
      <c r="J6" s="312"/>
      <c r="K6" s="312"/>
      <c r="L6" s="312"/>
      <c r="M6" s="313"/>
      <c r="N6" s="314"/>
      <c r="O6" s="313"/>
      <c r="P6" s="315"/>
      <c r="Q6" s="30" t="s">
        <v>44</v>
      </c>
      <c r="R6" s="30" t="s">
        <v>45</v>
      </c>
      <c r="S6" s="30" t="s">
        <v>46</v>
      </c>
      <c r="T6" s="317"/>
      <c r="U6" s="30" t="s">
        <v>44</v>
      </c>
      <c r="V6" s="30" t="s">
        <v>45</v>
      </c>
      <c r="W6" s="35" t="s">
        <v>46</v>
      </c>
      <c r="X6" s="319"/>
      <c r="Y6" s="35" t="s">
        <v>44</v>
      </c>
      <c r="Z6" s="30" t="s">
        <v>47</v>
      </c>
      <c r="AA6" s="30" t="s">
        <v>45</v>
      </c>
      <c r="AB6" s="30" t="s">
        <v>46</v>
      </c>
      <c r="AC6" s="321"/>
      <c r="AD6" s="35" t="s">
        <v>44</v>
      </c>
      <c r="AE6" s="30" t="s">
        <v>47</v>
      </c>
      <c r="AF6" s="30" t="s">
        <v>45</v>
      </c>
      <c r="AG6" s="35" t="s">
        <v>46</v>
      </c>
      <c r="AH6" s="319"/>
      <c r="AI6" s="35" t="s">
        <v>44</v>
      </c>
      <c r="AJ6" s="30" t="s">
        <v>47</v>
      </c>
      <c r="AK6" s="30" t="s">
        <v>45</v>
      </c>
      <c r="AL6" s="30" t="s">
        <v>46</v>
      </c>
      <c r="AM6" s="321"/>
      <c r="AN6" s="35" t="s">
        <v>44</v>
      </c>
      <c r="AO6" s="30" t="s">
        <v>47</v>
      </c>
      <c r="AP6" s="30" t="s">
        <v>45</v>
      </c>
      <c r="AQ6" s="36" t="s">
        <v>46</v>
      </c>
      <c r="AR6" s="319"/>
      <c r="AS6" s="35" t="s">
        <v>44</v>
      </c>
      <c r="AT6" s="30" t="s">
        <v>47</v>
      </c>
      <c r="AU6" s="30" t="s">
        <v>45</v>
      </c>
      <c r="AV6" s="30" t="s">
        <v>46</v>
      </c>
      <c r="AW6" s="321"/>
      <c r="AX6" s="35" t="s">
        <v>44</v>
      </c>
      <c r="AY6" s="30" t="s">
        <v>47</v>
      </c>
      <c r="AZ6" s="30" t="s">
        <v>45</v>
      </c>
      <c r="BA6" s="37" t="s">
        <v>46</v>
      </c>
      <c r="BB6" s="38"/>
      <c r="BC6" s="39"/>
      <c r="BD6" s="38"/>
      <c r="BE6" s="39"/>
    </row>
    <row r="7" spans="1:57" ht="15" x14ac:dyDescent="0.2">
      <c r="A7" s="296"/>
      <c r="B7" s="297"/>
      <c r="C7" s="298"/>
      <c r="D7" s="301"/>
      <c r="E7" s="302"/>
      <c r="F7" s="303"/>
      <c r="G7" s="304"/>
      <c r="H7" s="305"/>
      <c r="I7" s="30"/>
      <c r="J7" s="30"/>
      <c r="K7" s="30"/>
      <c r="L7" s="30"/>
      <c r="M7" s="31"/>
      <c r="N7" s="32"/>
      <c r="O7" s="31"/>
      <c r="P7" s="40">
        <v>17</v>
      </c>
      <c r="Q7" s="30"/>
      <c r="R7" s="30"/>
      <c r="S7" s="30"/>
      <c r="T7" s="41">
        <v>24</v>
      </c>
      <c r="U7" s="30"/>
      <c r="V7" s="30"/>
      <c r="W7" s="36"/>
      <c r="X7" s="40">
        <v>17</v>
      </c>
      <c r="Y7" s="30"/>
      <c r="Z7" s="30"/>
      <c r="AA7" s="30"/>
      <c r="AB7" s="30"/>
      <c r="AC7" s="41">
        <v>24.5</v>
      </c>
      <c r="AD7" s="30"/>
      <c r="AE7" s="30"/>
      <c r="AF7" s="30"/>
      <c r="AG7" s="36"/>
      <c r="AH7" s="40">
        <v>17</v>
      </c>
      <c r="AI7" s="30"/>
      <c r="AJ7" s="30"/>
      <c r="AK7" s="30"/>
      <c r="AL7" s="30"/>
      <c r="AM7" s="41">
        <v>24.5</v>
      </c>
      <c r="AN7" s="30"/>
      <c r="AO7" s="30"/>
      <c r="AP7" s="30"/>
      <c r="AQ7" s="36"/>
      <c r="AR7" s="40">
        <v>17</v>
      </c>
      <c r="AS7" s="30"/>
      <c r="AT7" s="30"/>
      <c r="AU7" s="30"/>
      <c r="AV7" s="30"/>
      <c r="AW7" s="41">
        <v>18</v>
      </c>
      <c r="AX7" s="30"/>
      <c r="AY7" s="30"/>
      <c r="AZ7" s="30"/>
      <c r="BA7" s="37"/>
      <c r="BB7" s="38"/>
      <c r="BC7" s="39"/>
      <c r="BD7" s="38"/>
      <c r="BE7" s="39"/>
    </row>
    <row r="8" spans="1:57" ht="32.25" customHeight="1" x14ac:dyDescent="0.2">
      <c r="A8" s="42" t="s">
        <v>48</v>
      </c>
      <c r="B8" s="43" t="s">
        <v>49</v>
      </c>
      <c r="C8" s="44" t="str">
        <f>_xlfn.CONCAT(D8,"/",E8,"/",F8)</f>
        <v>2/10/6</v>
      </c>
      <c r="D8" s="42">
        <f>COUNTIF(D9:D22,1)+COUNTIF(D9:D22,2)+COUNTIF(D9:D22,1.2)*2</f>
        <v>2</v>
      </c>
      <c r="E8" s="43">
        <f>COUNTIF(E9:E22,1)+COUNTIF(E9:E22,2)+COUNTIF(E9:E22,1.2)*2</f>
        <v>10</v>
      </c>
      <c r="F8" s="45">
        <f>COUNTIF(F9:F22,1)+COUNTIF(F9:F22,2)+COUNTIF(F9:F22,1.2)*2</f>
        <v>6</v>
      </c>
      <c r="G8" s="42">
        <f t="shared" ref="G8:BA8" si="0">SUM(G9:G22)</f>
        <v>1476</v>
      </c>
      <c r="H8" s="43">
        <f t="shared" si="0"/>
        <v>1476</v>
      </c>
      <c r="I8" s="43">
        <f t="shared" si="0"/>
        <v>856</v>
      </c>
      <c r="J8" s="43">
        <f t="shared" si="0"/>
        <v>572</v>
      </c>
      <c r="K8" s="43">
        <f t="shared" si="0"/>
        <v>0</v>
      </c>
      <c r="L8" s="43">
        <f t="shared" si="0"/>
        <v>0</v>
      </c>
      <c r="M8" s="45">
        <f t="shared" si="0"/>
        <v>48</v>
      </c>
      <c r="N8" s="42">
        <f t="shared" si="0"/>
        <v>0</v>
      </c>
      <c r="O8" s="45">
        <f t="shared" si="0"/>
        <v>0</v>
      </c>
      <c r="P8" s="42">
        <f t="shared" si="0"/>
        <v>612</v>
      </c>
      <c r="Q8" s="43">
        <f t="shared" si="0"/>
        <v>226</v>
      </c>
      <c r="R8" s="43">
        <f t="shared" si="0"/>
        <v>0</v>
      </c>
      <c r="S8" s="43">
        <f t="shared" si="0"/>
        <v>16</v>
      </c>
      <c r="T8" s="43">
        <f t="shared" si="0"/>
        <v>864</v>
      </c>
      <c r="U8" s="43">
        <f t="shared" si="0"/>
        <v>346</v>
      </c>
      <c r="V8" s="43">
        <f t="shared" si="0"/>
        <v>0</v>
      </c>
      <c r="W8" s="45">
        <f t="shared" si="0"/>
        <v>32</v>
      </c>
      <c r="X8" s="42">
        <f t="shared" si="0"/>
        <v>0</v>
      </c>
      <c r="Y8" s="43">
        <f t="shared" si="0"/>
        <v>0</v>
      </c>
      <c r="Z8" s="43">
        <f t="shared" si="0"/>
        <v>0</v>
      </c>
      <c r="AA8" s="43">
        <f t="shared" si="0"/>
        <v>0</v>
      </c>
      <c r="AB8" s="43">
        <f t="shared" si="0"/>
        <v>0</v>
      </c>
      <c r="AC8" s="43">
        <f t="shared" si="0"/>
        <v>0</v>
      </c>
      <c r="AD8" s="43">
        <f t="shared" si="0"/>
        <v>0</v>
      </c>
      <c r="AE8" s="43">
        <f t="shared" si="0"/>
        <v>0</v>
      </c>
      <c r="AF8" s="43">
        <f t="shared" si="0"/>
        <v>0</v>
      </c>
      <c r="AG8" s="46">
        <f t="shared" si="0"/>
        <v>0</v>
      </c>
      <c r="AH8" s="42">
        <f t="shared" si="0"/>
        <v>0</v>
      </c>
      <c r="AI8" s="43">
        <f t="shared" si="0"/>
        <v>0</v>
      </c>
      <c r="AJ8" s="43">
        <f t="shared" si="0"/>
        <v>0</v>
      </c>
      <c r="AK8" s="43">
        <f t="shared" si="0"/>
        <v>0</v>
      </c>
      <c r="AL8" s="43">
        <f t="shared" si="0"/>
        <v>0</v>
      </c>
      <c r="AM8" s="43">
        <f t="shared" si="0"/>
        <v>0</v>
      </c>
      <c r="AN8" s="43">
        <f t="shared" si="0"/>
        <v>0</v>
      </c>
      <c r="AO8" s="43">
        <f t="shared" si="0"/>
        <v>0</v>
      </c>
      <c r="AP8" s="43">
        <f t="shared" si="0"/>
        <v>0</v>
      </c>
      <c r="AQ8" s="47">
        <f t="shared" si="0"/>
        <v>0</v>
      </c>
      <c r="AR8" s="42">
        <f t="shared" si="0"/>
        <v>0</v>
      </c>
      <c r="AS8" s="43">
        <f t="shared" si="0"/>
        <v>0</v>
      </c>
      <c r="AT8" s="43">
        <f t="shared" si="0"/>
        <v>0</v>
      </c>
      <c r="AU8" s="43">
        <f t="shared" si="0"/>
        <v>0</v>
      </c>
      <c r="AV8" s="43">
        <f t="shared" si="0"/>
        <v>0</v>
      </c>
      <c r="AW8" s="43">
        <f t="shared" si="0"/>
        <v>0</v>
      </c>
      <c r="AX8" s="43">
        <f t="shared" si="0"/>
        <v>0</v>
      </c>
      <c r="AY8" s="43">
        <f t="shared" si="0"/>
        <v>0</v>
      </c>
      <c r="AZ8" s="43">
        <f t="shared" si="0"/>
        <v>0</v>
      </c>
      <c r="BA8" s="46">
        <f t="shared" si="0"/>
        <v>0</v>
      </c>
    </row>
    <row r="9" spans="1:57" ht="15.75" x14ac:dyDescent="0.2">
      <c r="A9" s="48" t="s">
        <v>50</v>
      </c>
      <c r="B9" s="49" t="s">
        <v>51</v>
      </c>
      <c r="C9" s="34" t="s">
        <v>52</v>
      </c>
      <c r="D9" s="50"/>
      <c r="E9" s="33">
        <v>2</v>
      </c>
      <c r="F9" s="34"/>
      <c r="G9" s="51">
        <v>72</v>
      </c>
      <c r="H9" s="33">
        <f t="shared" ref="H9:H22" si="1">SUM(P9,T9)</f>
        <v>72</v>
      </c>
      <c r="I9" s="33">
        <f t="shared" ref="I9:I22" si="2">H9-J9-K9-L9-M9</f>
        <v>34</v>
      </c>
      <c r="J9" s="33">
        <f t="shared" ref="J9:J22" si="3">Q9+U9</f>
        <v>36</v>
      </c>
      <c r="K9" s="33"/>
      <c r="L9" s="33"/>
      <c r="M9" s="34">
        <f t="shared" ref="M9:M22" si="4">S9+W9+AB9+AG9+AL9+AQ9+AV9+BA9</f>
        <v>2</v>
      </c>
      <c r="N9" s="50"/>
      <c r="O9" s="34"/>
      <c r="P9" s="50">
        <v>36</v>
      </c>
      <c r="Q9" s="33">
        <v>18</v>
      </c>
      <c r="R9" s="33"/>
      <c r="S9" s="33"/>
      <c r="T9" s="33">
        <v>36</v>
      </c>
      <c r="U9" s="33">
        <v>18</v>
      </c>
      <c r="V9" s="33"/>
      <c r="W9" s="52">
        <v>2</v>
      </c>
      <c r="X9" s="50"/>
      <c r="Y9" s="33"/>
      <c r="Z9" s="33"/>
      <c r="AA9" s="33"/>
      <c r="AB9" s="33"/>
      <c r="AC9" s="33"/>
      <c r="AD9" s="33"/>
      <c r="AE9" s="33"/>
      <c r="AF9" s="33"/>
      <c r="AG9" s="52"/>
      <c r="AH9" s="50"/>
      <c r="AI9" s="33"/>
      <c r="AJ9" s="33"/>
      <c r="AK9" s="33"/>
      <c r="AL9" s="33"/>
      <c r="AM9" s="33"/>
      <c r="AN9" s="33"/>
      <c r="AO9" s="33"/>
      <c r="AP9" s="33"/>
      <c r="AQ9" s="52"/>
      <c r="AR9" s="50"/>
      <c r="AS9" s="33"/>
      <c r="AT9" s="33"/>
      <c r="AU9" s="33"/>
      <c r="AV9" s="33"/>
      <c r="AW9" s="33"/>
      <c r="AX9" s="33"/>
      <c r="AY9" s="33"/>
      <c r="AZ9" s="33"/>
      <c r="BA9" s="53"/>
    </row>
    <row r="10" spans="1:57" ht="15.75" x14ac:dyDescent="0.2">
      <c r="A10" s="48" t="s">
        <v>53</v>
      </c>
      <c r="B10" s="49" t="s">
        <v>54</v>
      </c>
      <c r="C10" s="34" t="s">
        <v>52</v>
      </c>
      <c r="D10" s="50"/>
      <c r="E10" s="33">
        <v>2</v>
      </c>
      <c r="F10" s="34"/>
      <c r="G10" s="51">
        <v>108</v>
      </c>
      <c r="H10" s="33">
        <f t="shared" si="1"/>
        <v>108</v>
      </c>
      <c r="I10" s="33">
        <f t="shared" si="2"/>
        <v>52</v>
      </c>
      <c r="J10" s="33">
        <f t="shared" si="3"/>
        <v>54</v>
      </c>
      <c r="K10" s="33"/>
      <c r="L10" s="33"/>
      <c r="M10" s="34">
        <f t="shared" si="4"/>
        <v>2</v>
      </c>
      <c r="N10" s="50"/>
      <c r="O10" s="34"/>
      <c r="P10" s="50">
        <v>50</v>
      </c>
      <c r="Q10" s="33">
        <v>24</v>
      </c>
      <c r="R10" s="33"/>
      <c r="S10" s="33"/>
      <c r="T10" s="33">
        <v>58</v>
      </c>
      <c r="U10" s="33">
        <v>30</v>
      </c>
      <c r="V10" s="33"/>
      <c r="W10" s="52">
        <v>2</v>
      </c>
      <c r="X10" s="50"/>
      <c r="Y10" s="33"/>
      <c r="Z10" s="33"/>
      <c r="AA10" s="33"/>
      <c r="AB10" s="33"/>
      <c r="AC10" s="33"/>
      <c r="AD10" s="33"/>
      <c r="AE10" s="33"/>
      <c r="AF10" s="33"/>
      <c r="AG10" s="52"/>
      <c r="AH10" s="50"/>
      <c r="AI10" s="33"/>
      <c r="AJ10" s="33"/>
      <c r="AK10" s="33"/>
      <c r="AL10" s="33"/>
      <c r="AM10" s="33"/>
      <c r="AN10" s="33"/>
      <c r="AO10" s="33"/>
      <c r="AP10" s="33"/>
      <c r="AQ10" s="52"/>
      <c r="AR10" s="50"/>
      <c r="AS10" s="33"/>
      <c r="AT10" s="33"/>
      <c r="AU10" s="33"/>
      <c r="AV10" s="33"/>
      <c r="AW10" s="33"/>
      <c r="AX10" s="33"/>
      <c r="AY10" s="33"/>
      <c r="AZ10" s="33"/>
      <c r="BA10" s="53"/>
    </row>
    <row r="11" spans="1:57" ht="15.75" x14ac:dyDescent="0.2">
      <c r="A11" s="48" t="s">
        <v>55</v>
      </c>
      <c r="B11" s="49" t="s">
        <v>56</v>
      </c>
      <c r="C11" s="34" t="s">
        <v>57</v>
      </c>
      <c r="D11" s="50"/>
      <c r="E11" s="33"/>
      <c r="F11" s="34">
        <v>1.2</v>
      </c>
      <c r="G11" s="50">
        <v>136</v>
      </c>
      <c r="H11" s="33">
        <f t="shared" si="1"/>
        <v>136</v>
      </c>
      <c r="I11" s="33">
        <f t="shared" si="2"/>
        <v>78</v>
      </c>
      <c r="J11" s="33">
        <f t="shared" si="3"/>
        <v>50</v>
      </c>
      <c r="K11" s="33"/>
      <c r="L11" s="33"/>
      <c r="M11" s="34">
        <f t="shared" si="4"/>
        <v>8</v>
      </c>
      <c r="N11" s="50"/>
      <c r="O11" s="34"/>
      <c r="P11" s="50">
        <v>34</v>
      </c>
      <c r="Q11" s="33">
        <v>10</v>
      </c>
      <c r="R11" s="33"/>
      <c r="S11" s="33">
        <v>4</v>
      </c>
      <c r="T11" s="33">
        <v>102</v>
      </c>
      <c r="U11" s="33">
        <v>40</v>
      </c>
      <c r="V11" s="33"/>
      <c r="W11" s="52">
        <v>4</v>
      </c>
      <c r="X11" s="50"/>
      <c r="Y11" s="33"/>
      <c r="Z11" s="33"/>
      <c r="AA11" s="33"/>
      <c r="AB11" s="33"/>
      <c r="AC11" s="33"/>
      <c r="AD11" s="33"/>
      <c r="AE11" s="33"/>
      <c r="AF11" s="33"/>
      <c r="AG11" s="52"/>
      <c r="AH11" s="50"/>
      <c r="AI11" s="33"/>
      <c r="AJ11" s="33"/>
      <c r="AK11" s="33"/>
      <c r="AL11" s="33"/>
      <c r="AM11" s="33"/>
      <c r="AN11" s="33"/>
      <c r="AO11" s="33"/>
      <c r="AP11" s="33"/>
      <c r="AQ11" s="52"/>
      <c r="AR11" s="50"/>
      <c r="AS11" s="33"/>
      <c r="AT11" s="33"/>
      <c r="AU11" s="33"/>
      <c r="AV11" s="33"/>
      <c r="AW11" s="33"/>
      <c r="AX11" s="33"/>
      <c r="AY11" s="33"/>
      <c r="AZ11" s="33"/>
      <c r="BA11" s="53"/>
    </row>
    <row r="12" spans="1:57" ht="15.75" x14ac:dyDescent="0.2">
      <c r="A12" s="48" t="s">
        <v>58</v>
      </c>
      <c r="B12" s="49" t="s">
        <v>59</v>
      </c>
      <c r="C12" s="34" t="s">
        <v>52</v>
      </c>
      <c r="D12" s="50"/>
      <c r="E12" s="33">
        <v>2</v>
      </c>
      <c r="F12" s="34"/>
      <c r="G12" s="50">
        <v>72</v>
      </c>
      <c r="H12" s="33">
        <f t="shared" si="1"/>
        <v>72</v>
      </c>
      <c r="I12" s="33">
        <f t="shared" si="2"/>
        <v>44</v>
      </c>
      <c r="J12" s="33">
        <f t="shared" si="3"/>
        <v>26</v>
      </c>
      <c r="K12" s="33"/>
      <c r="L12" s="33"/>
      <c r="M12" s="34">
        <f t="shared" si="4"/>
        <v>2</v>
      </c>
      <c r="N12" s="50"/>
      <c r="O12" s="34"/>
      <c r="P12" s="50">
        <v>30</v>
      </c>
      <c r="Q12" s="33">
        <v>4</v>
      </c>
      <c r="R12" s="33"/>
      <c r="S12" s="33"/>
      <c r="T12" s="33">
        <v>42</v>
      </c>
      <c r="U12" s="33">
        <v>22</v>
      </c>
      <c r="V12" s="33"/>
      <c r="W12" s="52">
        <v>2</v>
      </c>
      <c r="X12" s="50"/>
      <c r="Y12" s="33"/>
      <c r="Z12" s="33"/>
      <c r="AA12" s="33"/>
      <c r="AB12" s="33"/>
      <c r="AC12" s="33"/>
      <c r="AD12" s="33"/>
      <c r="AE12" s="33"/>
      <c r="AF12" s="33"/>
      <c r="AG12" s="52"/>
      <c r="AH12" s="50"/>
      <c r="AI12" s="33"/>
      <c r="AJ12" s="33"/>
      <c r="AK12" s="33"/>
      <c r="AL12" s="33"/>
      <c r="AM12" s="33"/>
      <c r="AN12" s="33"/>
      <c r="AO12" s="33"/>
      <c r="AP12" s="33"/>
      <c r="AQ12" s="52"/>
      <c r="AR12" s="50"/>
      <c r="AS12" s="33"/>
      <c r="AT12" s="33"/>
      <c r="AU12" s="33"/>
      <c r="AV12" s="33"/>
      <c r="AW12" s="33"/>
      <c r="AX12" s="33"/>
      <c r="AY12" s="33"/>
      <c r="AZ12" s="33"/>
      <c r="BA12" s="53"/>
    </row>
    <row r="13" spans="1:57" ht="15.75" x14ac:dyDescent="0.2">
      <c r="A13" s="48" t="s">
        <v>60</v>
      </c>
      <c r="B13" s="49" t="s">
        <v>61</v>
      </c>
      <c r="C13" s="34" t="s">
        <v>52</v>
      </c>
      <c r="D13" s="50"/>
      <c r="E13" s="33">
        <v>2</v>
      </c>
      <c r="F13" s="34"/>
      <c r="G13" s="50">
        <v>72</v>
      </c>
      <c r="H13" s="33">
        <f t="shared" si="1"/>
        <v>72</v>
      </c>
      <c r="I13" s="33">
        <f t="shared" si="2"/>
        <v>70</v>
      </c>
      <c r="J13" s="33">
        <f t="shared" si="3"/>
        <v>0</v>
      </c>
      <c r="K13" s="33"/>
      <c r="L13" s="33"/>
      <c r="M13" s="34">
        <f t="shared" si="4"/>
        <v>2</v>
      </c>
      <c r="N13" s="50"/>
      <c r="O13" s="34"/>
      <c r="P13" s="50">
        <v>32</v>
      </c>
      <c r="Q13" s="33"/>
      <c r="R13" s="33"/>
      <c r="S13" s="33"/>
      <c r="T13" s="33">
        <v>40</v>
      </c>
      <c r="U13" s="33"/>
      <c r="V13" s="33"/>
      <c r="W13" s="52">
        <v>2</v>
      </c>
      <c r="X13" s="50"/>
      <c r="Y13" s="33"/>
      <c r="Z13" s="33"/>
      <c r="AA13" s="33"/>
      <c r="AB13" s="33"/>
      <c r="AC13" s="33"/>
      <c r="AD13" s="33"/>
      <c r="AE13" s="33"/>
      <c r="AF13" s="33"/>
      <c r="AG13" s="52"/>
      <c r="AH13" s="50"/>
      <c r="AI13" s="33"/>
      <c r="AJ13" s="33"/>
      <c r="AK13" s="33"/>
      <c r="AL13" s="33"/>
      <c r="AM13" s="33"/>
      <c r="AN13" s="33"/>
      <c r="AO13" s="33"/>
      <c r="AP13" s="33"/>
      <c r="AQ13" s="52"/>
      <c r="AR13" s="50"/>
      <c r="AS13" s="33"/>
      <c r="AT13" s="33"/>
      <c r="AU13" s="33"/>
      <c r="AV13" s="33"/>
      <c r="AW13" s="33"/>
      <c r="AX13" s="33"/>
      <c r="AY13" s="33"/>
      <c r="AZ13" s="33"/>
      <c r="BA13" s="53"/>
    </row>
    <row r="14" spans="1:57" ht="15.75" x14ac:dyDescent="0.2">
      <c r="A14" s="48" t="s">
        <v>62</v>
      </c>
      <c r="B14" s="49" t="s">
        <v>63</v>
      </c>
      <c r="C14" s="34" t="s">
        <v>52</v>
      </c>
      <c r="D14" s="50"/>
      <c r="E14" s="33">
        <v>2</v>
      </c>
      <c r="F14" s="34"/>
      <c r="G14" s="50">
        <v>72</v>
      </c>
      <c r="H14" s="33">
        <f t="shared" si="1"/>
        <v>72</v>
      </c>
      <c r="I14" s="33">
        <f t="shared" si="2"/>
        <v>0</v>
      </c>
      <c r="J14" s="33">
        <f t="shared" si="3"/>
        <v>70</v>
      </c>
      <c r="K14" s="33"/>
      <c r="L14" s="33"/>
      <c r="M14" s="34">
        <f t="shared" si="4"/>
        <v>2</v>
      </c>
      <c r="N14" s="50"/>
      <c r="O14" s="34"/>
      <c r="P14" s="50">
        <v>30</v>
      </c>
      <c r="Q14" s="33">
        <v>30</v>
      </c>
      <c r="R14" s="33"/>
      <c r="S14" s="33"/>
      <c r="T14" s="33">
        <v>42</v>
      </c>
      <c r="U14" s="33">
        <v>40</v>
      </c>
      <c r="V14" s="33"/>
      <c r="W14" s="52">
        <v>2</v>
      </c>
      <c r="X14" s="50"/>
      <c r="Y14" s="33"/>
      <c r="Z14" s="33"/>
      <c r="AA14" s="33"/>
      <c r="AB14" s="33"/>
      <c r="AC14" s="33"/>
      <c r="AD14" s="33"/>
      <c r="AE14" s="33"/>
      <c r="AF14" s="33"/>
      <c r="AG14" s="52"/>
      <c r="AH14" s="50"/>
      <c r="AI14" s="33"/>
      <c r="AJ14" s="33"/>
      <c r="AK14" s="33"/>
      <c r="AL14" s="33"/>
      <c r="AM14" s="33"/>
      <c r="AN14" s="33"/>
      <c r="AO14" s="33"/>
      <c r="AP14" s="33"/>
      <c r="AQ14" s="52"/>
      <c r="AR14" s="50"/>
      <c r="AS14" s="33"/>
      <c r="AT14" s="33"/>
      <c r="AU14" s="33"/>
      <c r="AV14" s="33"/>
      <c r="AW14" s="33"/>
      <c r="AX14" s="33"/>
      <c r="AY14" s="33"/>
      <c r="AZ14" s="33"/>
      <c r="BA14" s="53"/>
    </row>
    <row r="15" spans="1:57" ht="15.75" x14ac:dyDescent="0.2">
      <c r="A15" s="48" t="s">
        <v>64</v>
      </c>
      <c r="B15" s="49" t="s">
        <v>401</v>
      </c>
      <c r="C15" s="34" t="s">
        <v>57</v>
      </c>
      <c r="D15" s="50"/>
      <c r="E15" s="33"/>
      <c r="F15" s="34">
        <v>1.2</v>
      </c>
      <c r="G15" s="50">
        <v>340</v>
      </c>
      <c r="H15" s="33">
        <f t="shared" si="1"/>
        <v>340</v>
      </c>
      <c r="I15" s="33">
        <f t="shared" si="2"/>
        <v>332</v>
      </c>
      <c r="J15" s="33">
        <f t="shared" si="3"/>
        <v>0</v>
      </c>
      <c r="K15" s="33"/>
      <c r="L15" s="33"/>
      <c r="M15" s="34">
        <f t="shared" si="4"/>
        <v>8</v>
      </c>
      <c r="N15" s="50"/>
      <c r="O15" s="34"/>
      <c r="P15" s="50">
        <v>134</v>
      </c>
      <c r="Q15" s="33"/>
      <c r="R15" s="33"/>
      <c r="S15" s="33">
        <v>4</v>
      </c>
      <c r="T15" s="33">
        <v>206</v>
      </c>
      <c r="U15" s="33"/>
      <c r="V15" s="33"/>
      <c r="W15" s="52">
        <v>4</v>
      </c>
      <c r="X15" s="50"/>
      <c r="Y15" s="33"/>
      <c r="Z15" s="33"/>
      <c r="AA15" s="33"/>
      <c r="AB15" s="33"/>
      <c r="AC15" s="33"/>
      <c r="AD15" s="33"/>
      <c r="AE15" s="33"/>
      <c r="AF15" s="33"/>
      <c r="AG15" s="52"/>
      <c r="AH15" s="50"/>
      <c r="AI15" s="33"/>
      <c r="AJ15" s="33"/>
      <c r="AK15" s="33"/>
      <c r="AL15" s="33"/>
      <c r="AM15" s="33"/>
      <c r="AN15" s="33"/>
      <c r="AO15" s="33"/>
      <c r="AP15" s="33"/>
      <c r="AQ15" s="52"/>
      <c r="AR15" s="50"/>
      <c r="AS15" s="33"/>
      <c r="AT15" s="33"/>
      <c r="AU15" s="33"/>
      <c r="AV15" s="33"/>
      <c r="AW15" s="33"/>
      <c r="AX15" s="33"/>
      <c r="AY15" s="33"/>
      <c r="AZ15" s="33"/>
      <c r="BA15" s="53"/>
    </row>
    <row r="16" spans="1:57" ht="15.75" x14ac:dyDescent="0.2">
      <c r="A16" s="48" t="s">
        <v>65</v>
      </c>
      <c r="B16" s="49" t="s">
        <v>91</v>
      </c>
      <c r="C16" s="34" t="s">
        <v>52</v>
      </c>
      <c r="D16" s="50"/>
      <c r="E16" s="33">
        <v>2</v>
      </c>
      <c r="F16" s="34"/>
      <c r="G16" s="50">
        <v>108</v>
      </c>
      <c r="H16" s="33">
        <f t="shared" si="1"/>
        <v>108</v>
      </c>
      <c r="I16" s="33">
        <f t="shared" si="2"/>
        <v>26</v>
      </c>
      <c r="J16" s="33">
        <f t="shared" si="3"/>
        <v>80</v>
      </c>
      <c r="K16" s="33"/>
      <c r="L16" s="33"/>
      <c r="M16" s="34">
        <f t="shared" si="4"/>
        <v>2</v>
      </c>
      <c r="N16" s="50"/>
      <c r="O16" s="34"/>
      <c r="P16" s="50">
        <v>50</v>
      </c>
      <c r="Q16" s="33">
        <v>40</v>
      </c>
      <c r="R16" s="33"/>
      <c r="S16" s="33"/>
      <c r="T16" s="33">
        <v>58</v>
      </c>
      <c r="U16" s="33">
        <v>40</v>
      </c>
      <c r="V16" s="33"/>
      <c r="W16" s="52">
        <v>2</v>
      </c>
      <c r="X16" s="50"/>
      <c r="Y16" s="33"/>
      <c r="Z16" s="33"/>
      <c r="AA16" s="33"/>
      <c r="AB16" s="33"/>
      <c r="AC16" s="33"/>
      <c r="AD16" s="33"/>
      <c r="AE16" s="33"/>
      <c r="AF16" s="33"/>
      <c r="AG16" s="52"/>
      <c r="AH16" s="50"/>
      <c r="AI16" s="33"/>
      <c r="AJ16" s="33"/>
      <c r="AK16" s="33"/>
      <c r="AL16" s="33"/>
      <c r="AM16" s="33"/>
      <c r="AN16" s="33"/>
      <c r="AO16" s="33"/>
      <c r="AP16" s="33"/>
      <c r="AQ16" s="52"/>
      <c r="AR16" s="50"/>
      <c r="AS16" s="33"/>
      <c r="AT16" s="33"/>
      <c r="AU16" s="33"/>
      <c r="AV16" s="33"/>
      <c r="AW16" s="33"/>
      <c r="AX16" s="33"/>
      <c r="AY16" s="33"/>
      <c r="AZ16" s="33"/>
      <c r="BA16" s="53"/>
    </row>
    <row r="17" spans="1:57" ht="15.75" x14ac:dyDescent="0.2">
      <c r="A17" s="48" t="s">
        <v>66</v>
      </c>
      <c r="B17" s="49" t="s">
        <v>67</v>
      </c>
      <c r="C17" s="34" t="s">
        <v>68</v>
      </c>
      <c r="D17" s="50">
        <v>1.2</v>
      </c>
      <c r="E17" s="33"/>
      <c r="F17" s="34"/>
      <c r="G17" s="50">
        <v>72</v>
      </c>
      <c r="H17" s="33">
        <f t="shared" si="1"/>
        <v>72</v>
      </c>
      <c r="I17" s="33">
        <f t="shared" si="2"/>
        <v>2</v>
      </c>
      <c r="J17" s="33">
        <f t="shared" si="3"/>
        <v>66</v>
      </c>
      <c r="K17" s="33"/>
      <c r="L17" s="33"/>
      <c r="M17" s="34">
        <f t="shared" si="4"/>
        <v>4</v>
      </c>
      <c r="N17" s="50"/>
      <c r="O17" s="34"/>
      <c r="P17" s="50">
        <v>30</v>
      </c>
      <c r="Q17" s="33">
        <v>28</v>
      </c>
      <c r="R17" s="33"/>
      <c r="S17" s="33">
        <v>2</v>
      </c>
      <c r="T17" s="33">
        <v>42</v>
      </c>
      <c r="U17" s="33">
        <v>38</v>
      </c>
      <c r="V17" s="33"/>
      <c r="W17" s="52">
        <v>2</v>
      </c>
      <c r="X17" s="50"/>
      <c r="Y17" s="33"/>
      <c r="Z17" s="33"/>
      <c r="AA17" s="33"/>
      <c r="AB17" s="33"/>
      <c r="AC17" s="33"/>
      <c r="AD17" s="33"/>
      <c r="AE17" s="33"/>
      <c r="AF17" s="33"/>
      <c r="AG17" s="52"/>
      <c r="AH17" s="50"/>
      <c r="AI17" s="33"/>
      <c r="AJ17" s="33"/>
      <c r="AK17" s="33"/>
      <c r="AL17" s="33"/>
      <c r="AM17" s="33"/>
      <c r="AN17" s="33"/>
      <c r="AO17" s="33"/>
      <c r="AP17" s="33"/>
      <c r="AQ17" s="52"/>
      <c r="AR17" s="50"/>
      <c r="AS17" s="33"/>
      <c r="AT17" s="33"/>
      <c r="AU17" s="33"/>
      <c r="AV17" s="33"/>
      <c r="AW17" s="33"/>
      <c r="AX17" s="33"/>
      <c r="AY17" s="33"/>
      <c r="AZ17" s="33"/>
      <c r="BA17" s="53"/>
    </row>
    <row r="18" spans="1:57" ht="15.75" x14ac:dyDescent="0.2">
      <c r="A18" s="48" t="s">
        <v>69</v>
      </c>
      <c r="B18" s="49" t="s">
        <v>389</v>
      </c>
      <c r="C18" s="34" t="s">
        <v>52</v>
      </c>
      <c r="D18" s="50"/>
      <c r="E18" s="33">
        <v>2</v>
      </c>
      <c r="F18" s="34"/>
      <c r="G18" s="50">
        <v>68</v>
      </c>
      <c r="H18" s="33">
        <f t="shared" si="1"/>
        <v>68</v>
      </c>
      <c r="I18" s="33">
        <f t="shared" si="2"/>
        <v>20</v>
      </c>
      <c r="J18" s="33">
        <f t="shared" si="3"/>
        <v>46</v>
      </c>
      <c r="K18" s="33"/>
      <c r="L18" s="33"/>
      <c r="M18" s="34">
        <f t="shared" si="4"/>
        <v>2</v>
      </c>
      <c r="N18" s="50"/>
      <c r="O18" s="34"/>
      <c r="P18" s="50">
        <v>30</v>
      </c>
      <c r="Q18" s="33">
        <v>16</v>
      </c>
      <c r="R18" s="33"/>
      <c r="S18" s="33"/>
      <c r="T18" s="33">
        <v>38</v>
      </c>
      <c r="U18" s="33">
        <v>30</v>
      </c>
      <c r="V18" s="33"/>
      <c r="W18" s="52">
        <v>2</v>
      </c>
      <c r="X18" s="50"/>
      <c r="Y18" s="33"/>
      <c r="Z18" s="33"/>
      <c r="AA18" s="33"/>
      <c r="AB18" s="33"/>
      <c r="AC18" s="33"/>
      <c r="AD18" s="33"/>
      <c r="AE18" s="33"/>
      <c r="AF18" s="33"/>
      <c r="AG18" s="52"/>
      <c r="AH18" s="50"/>
      <c r="AI18" s="33"/>
      <c r="AJ18" s="33"/>
      <c r="AK18" s="33"/>
      <c r="AL18" s="33"/>
      <c r="AM18" s="33"/>
      <c r="AN18" s="33"/>
      <c r="AO18" s="33"/>
      <c r="AP18" s="33"/>
      <c r="AQ18" s="52"/>
      <c r="AR18" s="50"/>
      <c r="AS18" s="33"/>
      <c r="AT18" s="33"/>
      <c r="AU18" s="33"/>
      <c r="AV18" s="33"/>
      <c r="AW18" s="33"/>
      <c r="AX18" s="33"/>
      <c r="AY18" s="33"/>
      <c r="AZ18" s="33"/>
      <c r="BA18" s="53"/>
    </row>
    <row r="19" spans="1:57" ht="15.75" x14ac:dyDescent="0.2">
      <c r="A19" s="48" t="s">
        <v>70</v>
      </c>
      <c r="B19" s="49" t="s">
        <v>402</v>
      </c>
      <c r="C19" s="34" t="s">
        <v>52</v>
      </c>
      <c r="D19" s="50"/>
      <c r="E19" s="33">
        <v>2</v>
      </c>
      <c r="F19" s="34"/>
      <c r="G19" s="50">
        <v>108</v>
      </c>
      <c r="H19" s="33">
        <f t="shared" si="1"/>
        <v>108</v>
      </c>
      <c r="I19" s="33">
        <f t="shared" si="2"/>
        <v>70</v>
      </c>
      <c r="J19" s="33">
        <f t="shared" si="3"/>
        <v>36</v>
      </c>
      <c r="K19" s="33"/>
      <c r="L19" s="33"/>
      <c r="M19" s="34">
        <f t="shared" si="4"/>
        <v>2</v>
      </c>
      <c r="N19" s="50"/>
      <c r="O19" s="34"/>
      <c r="P19" s="50">
        <v>44</v>
      </c>
      <c r="Q19" s="33">
        <v>10</v>
      </c>
      <c r="R19" s="33"/>
      <c r="S19" s="33"/>
      <c r="T19" s="33">
        <v>64</v>
      </c>
      <c r="U19" s="33">
        <v>26</v>
      </c>
      <c r="V19" s="33"/>
      <c r="W19" s="52">
        <v>2</v>
      </c>
      <c r="X19" s="50"/>
      <c r="Y19" s="33"/>
      <c r="Z19" s="33"/>
      <c r="AA19" s="33"/>
      <c r="AB19" s="33"/>
      <c r="AC19" s="33"/>
      <c r="AD19" s="33"/>
      <c r="AE19" s="33"/>
      <c r="AF19" s="33"/>
      <c r="AG19" s="52"/>
      <c r="AH19" s="50"/>
      <c r="AI19" s="33"/>
      <c r="AJ19" s="33"/>
      <c r="AK19" s="33"/>
      <c r="AL19" s="33"/>
      <c r="AM19" s="33"/>
      <c r="AN19" s="33"/>
      <c r="AO19" s="33"/>
      <c r="AP19" s="33"/>
      <c r="AQ19" s="52"/>
      <c r="AR19" s="50"/>
      <c r="AS19" s="33"/>
      <c r="AT19" s="33"/>
      <c r="AU19" s="33"/>
      <c r="AV19" s="33"/>
      <c r="AW19" s="33"/>
      <c r="AX19" s="33"/>
      <c r="AY19" s="33"/>
      <c r="AZ19" s="33"/>
      <c r="BA19" s="53"/>
    </row>
    <row r="20" spans="1:57" ht="15.75" x14ac:dyDescent="0.2">
      <c r="A20" s="48" t="s">
        <v>71</v>
      </c>
      <c r="B20" s="49" t="s">
        <v>72</v>
      </c>
      <c r="C20" s="34" t="s">
        <v>52</v>
      </c>
      <c r="D20" s="50"/>
      <c r="E20" s="33">
        <v>2</v>
      </c>
      <c r="F20" s="34"/>
      <c r="G20" s="50">
        <v>72</v>
      </c>
      <c r="H20" s="33">
        <f t="shared" si="1"/>
        <v>72</v>
      </c>
      <c r="I20" s="33">
        <f t="shared" si="2"/>
        <v>42</v>
      </c>
      <c r="J20" s="33">
        <f t="shared" si="3"/>
        <v>28</v>
      </c>
      <c r="K20" s="33"/>
      <c r="L20" s="33"/>
      <c r="M20" s="34">
        <f t="shared" si="4"/>
        <v>2</v>
      </c>
      <c r="N20" s="50"/>
      <c r="O20" s="34"/>
      <c r="P20" s="50">
        <v>30</v>
      </c>
      <c r="Q20" s="33">
        <v>16</v>
      </c>
      <c r="R20" s="33"/>
      <c r="S20" s="33"/>
      <c r="T20" s="33">
        <v>42</v>
      </c>
      <c r="U20" s="33">
        <v>12</v>
      </c>
      <c r="V20" s="33"/>
      <c r="W20" s="52">
        <v>2</v>
      </c>
      <c r="X20" s="50"/>
      <c r="Y20" s="33"/>
      <c r="Z20" s="33"/>
      <c r="AA20" s="33"/>
      <c r="AB20" s="33"/>
      <c r="AC20" s="33"/>
      <c r="AD20" s="33"/>
      <c r="AE20" s="33"/>
      <c r="AF20" s="33"/>
      <c r="AG20" s="52"/>
      <c r="AH20" s="50"/>
      <c r="AI20" s="33"/>
      <c r="AJ20" s="33"/>
      <c r="AK20" s="33"/>
      <c r="AL20" s="33"/>
      <c r="AM20" s="33"/>
      <c r="AN20" s="33"/>
      <c r="AO20" s="33"/>
      <c r="AP20" s="33"/>
      <c r="AQ20" s="52"/>
      <c r="AR20" s="50"/>
      <c r="AS20" s="33"/>
      <c r="AT20" s="33"/>
      <c r="AU20" s="33"/>
      <c r="AV20" s="33"/>
      <c r="AW20" s="33"/>
      <c r="AX20" s="33"/>
      <c r="AY20" s="33"/>
      <c r="AZ20" s="33"/>
      <c r="BA20" s="53"/>
    </row>
    <row r="21" spans="1:57" ht="15.75" x14ac:dyDescent="0.2">
      <c r="A21" s="48" t="s">
        <v>73</v>
      </c>
      <c r="B21" s="49" t="s">
        <v>74</v>
      </c>
      <c r="C21" s="34" t="s">
        <v>57</v>
      </c>
      <c r="D21" s="50"/>
      <c r="E21" s="33"/>
      <c r="F21" s="34">
        <v>1.2</v>
      </c>
      <c r="G21" s="50">
        <v>144</v>
      </c>
      <c r="H21" s="33">
        <f t="shared" si="1"/>
        <v>144</v>
      </c>
      <c r="I21" s="33">
        <f t="shared" si="2"/>
        <v>86</v>
      </c>
      <c r="J21" s="33">
        <f t="shared" si="3"/>
        <v>50</v>
      </c>
      <c r="K21" s="33"/>
      <c r="L21" s="33"/>
      <c r="M21" s="34">
        <f t="shared" si="4"/>
        <v>8</v>
      </c>
      <c r="N21" s="50"/>
      <c r="O21" s="34"/>
      <c r="P21" s="50">
        <v>50</v>
      </c>
      <c r="Q21" s="33"/>
      <c r="R21" s="33"/>
      <c r="S21" s="33">
        <v>4</v>
      </c>
      <c r="T21" s="33">
        <v>94</v>
      </c>
      <c r="U21" s="33">
        <v>50</v>
      </c>
      <c r="V21" s="33"/>
      <c r="W21" s="52">
        <v>4</v>
      </c>
      <c r="X21" s="50"/>
      <c r="Y21" s="33"/>
      <c r="Z21" s="33"/>
      <c r="AA21" s="33"/>
      <c r="AB21" s="33"/>
      <c r="AC21" s="33"/>
      <c r="AD21" s="33"/>
      <c r="AE21" s="33"/>
      <c r="AF21" s="33"/>
      <c r="AG21" s="52"/>
      <c r="AH21" s="50"/>
      <c r="AI21" s="33"/>
      <c r="AJ21" s="33"/>
      <c r="AK21" s="33"/>
      <c r="AL21" s="33"/>
      <c r="AM21" s="33"/>
      <c r="AN21" s="33"/>
      <c r="AO21" s="33"/>
      <c r="AP21" s="33"/>
      <c r="AQ21" s="52"/>
      <c r="AR21" s="50"/>
      <c r="AS21" s="33"/>
      <c r="AT21" s="33"/>
      <c r="AU21" s="33"/>
      <c r="AV21" s="33"/>
      <c r="AW21" s="33"/>
      <c r="AX21" s="33"/>
      <c r="AY21" s="33"/>
      <c r="AZ21" s="33"/>
      <c r="BA21" s="53"/>
    </row>
    <row r="22" spans="1:57" ht="15.75" x14ac:dyDescent="0.2">
      <c r="A22" s="48" t="s">
        <v>75</v>
      </c>
      <c r="B22" s="49" t="s">
        <v>407</v>
      </c>
      <c r="C22" s="34" t="s">
        <v>52</v>
      </c>
      <c r="D22" s="50"/>
      <c r="E22" s="33">
        <v>1</v>
      </c>
      <c r="F22" s="34"/>
      <c r="G22" s="50">
        <v>32</v>
      </c>
      <c r="H22" s="33">
        <f t="shared" si="1"/>
        <v>32</v>
      </c>
      <c r="I22" s="33">
        <f t="shared" si="2"/>
        <v>0</v>
      </c>
      <c r="J22" s="33">
        <f t="shared" si="3"/>
        <v>30</v>
      </c>
      <c r="K22" s="33"/>
      <c r="L22" s="33"/>
      <c r="M22" s="34">
        <f t="shared" si="4"/>
        <v>2</v>
      </c>
      <c r="N22" s="50"/>
      <c r="O22" s="34"/>
      <c r="P22" s="50">
        <v>32</v>
      </c>
      <c r="Q22" s="33">
        <v>30</v>
      </c>
      <c r="R22" s="33"/>
      <c r="S22" s="33">
        <v>2</v>
      </c>
      <c r="T22" s="33"/>
      <c r="U22" s="33"/>
      <c r="V22" s="33"/>
      <c r="W22" s="52"/>
      <c r="X22" s="50"/>
      <c r="Y22" s="33"/>
      <c r="Z22" s="33"/>
      <c r="AA22" s="33"/>
      <c r="AB22" s="33"/>
      <c r="AC22" s="33"/>
      <c r="AD22" s="33"/>
      <c r="AE22" s="33"/>
      <c r="AF22" s="33"/>
      <c r="AG22" s="52"/>
      <c r="AH22" s="50"/>
      <c r="AI22" s="33"/>
      <c r="AJ22" s="33"/>
      <c r="AK22" s="33"/>
      <c r="AL22" s="33"/>
      <c r="AM22" s="33"/>
      <c r="AN22" s="33"/>
      <c r="AO22" s="33"/>
      <c r="AP22" s="33"/>
      <c r="AQ22" s="52"/>
      <c r="AR22" s="50"/>
      <c r="AS22" s="33"/>
      <c r="AT22" s="33"/>
      <c r="AU22" s="33"/>
      <c r="AV22" s="33"/>
      <c r="AW22" s="33"/>
      <c r="AX22" s="33"/>
      <c r="AY22" s="33"/>
      <c r="AZ22" s="33"/>
      <c r="BA22" s="53"/>
    </row>
    <row r="23" spans="1:57" s="61" customFormat="1" ht="29.25" customHeight="1" x14ac:dyDescent="0.2">
      <c r="A23" s="42" t="s">
        <v>76</v>
      </c>
      <c r="B23" s="43" t="s">
        <v>77</v>
      </c>
      <c r="C23" s="44" t="str">
        <f>CONCATENATE(D23,"/",E23,"/",F23)</f>
        <v>7/6/1</v>
      </c>
      <c r="D23" s="42">
        <v>7</v>
      </c>
      <c r="E23" s="43">
        <v>6</v>
      </c>
      <c r="F23" s="45">
        <v>1</v>
      </c>
      <c r="G23" s="54">
        <f t="shared" ref="G23:N23" si="5">SUM(G24:G32)</f>
        <v>648</v>
      </c>
      <c r="H23" s="55">
        <f t="shared" si="5"/>
        <v>648</v>
      </c>
      <c r="I23" s="55">
        <f t="shared" si="5"/>
        <v>168</v>
      </c>
      <c r="J23" s="55">
        <f t="shared" si="5"/>
        <v>422</v>
      </c>
      <c r="K23" s="55">
        <f t="shared" si="5"/>
        <v>0</v>
      </c>
      <c r="L23" s="55">
        <f t="shared" si="5"/>
        <v>30</v>
      </c>
      <c r="M23" s="56">
        <f t="shared" si="5"/>
        <v>28</v>
      </c>
      <c r="N23" s="42">
        <f t="shared" si="5"/>
        <v>396</v>
      </c>
      <c r="O23" s="45">
        <f>SUM(O24:O32)</f>
        <v>252</v>
      </c>
      <c r="P23" s="42">
        <f t="shared" ref="P23:BA23" si="6">SUM(P24:P32)</f>
        <v>0</v>
      </c>
      <c r="Q23" s="43">
        <f t="shared" si="6"/>
        <v>0</v>
      </c>
      <c r="R23" s="43">
        <f t="shared" si="6"/>
        <v>0</v>
      </c>
      <c r="S23" s="43">
        <f t="shared" si="6"/>
        <v>0</v>
      </c>
      <c r="T23" s="43">
        <f t="shared" si="6"/>
        <v>0</v>
      </c>
      <c r="U23" s="43">
        <f t="shared" si="6"/>
        <v>0</v>
      </c>
      <c r="V23" s="43">
        <f t="shared" si="6"/>
        <v>0</v>
      </c>
      <c r="W23" s="46">
        <f t="shared" si="6"/>
        <v>0</v>
      </c>
      <c r="X23" s="42">
        <f t="shared" si="6"/>
        <v>210</v>
      </c>
      <c r="Y23" s="43">
        <f t="shared" si="6"/>
        <v>124</v>
      </c>
      <c r="Z23" s="43">
        <f t="shared" si="6"/>
        <v>0</v>
      </c>
      <c r="AA23" s="43">
        <f t="shared" si="6"/>
        <v>12</v>
      </c>
      <c r="AB23" s="43">
        <f t="shared" si="6"/>
        <v>6</v>
      </c>
      <c r="AC23" s="43">
        <f t="shared" si="6"/>
        <v>240</v>
      </c>
      <c r="AD23" s="43">
        <f t="shared" si="6"/>
        <v>146</v>
      </c>
      <c r="AE23" s="43">
        <f t="shared" si="6"/>
        <v>0</v>
      </c>
      <c r="AF23" s="43">
        <f t="shared" si="6"/>
        <v>12</v>
      </c>
      <c r="AG23" s="46">
        <f t="shared" si="6"/>
        <v>14</v>
      </c>
      <c r="AH23" s="42">
        <f t="shared" si="6"/>
        <v>80</v>
      </c>
      <c r="AI23" s="43">
        <f t="shared" si="6"/>
        <v>76</v>
      </c>
      <c r="AJ23" s="43">
        <f t="shared" si="6"/>
        <v>0</v>
      </c>
      <c r="AK23" s="43">
        <f t="shared" si="6"/>
        <v>2</v>
      </c>
      <c r="AL23" s="43">
        <f t="shared" si="6"/>
        <v>2</v>
      </c>
      <c r="AM23" s="43">
        <f t="shared" si="6"/>
        <v>118</v>
      </c>
      <c r="AN23" s="43">
        <f t="shared" si="6"/>
        <v>76</v>
      </c>
      <c r="AO23" s="43">
        <f t="shared" si="6"/>
        <v>0</v>
      </c>
      <c r="AP23" s="43">
        <f t="shared" si="6"/>
        <v>4</v>
      </c>
      <c r="AQ23" s="47">
        <f t="shared" si="6"/>
        <v>6</v>
      </c>
      <c r="AR23" s="42">
        <f t="shared" si="6"/>
        <v>0</v>
      </c>
      <c r="AS23" s="43">
        <f t="shared" si="6"/>
        <v>0</v>
      </c>
      <c r="AT23" s="43">
        <f t="shared" si="6"/>
        <v>0</v>
      </c>
      <c r="AU23" s="43">
        <f t="shared" si="6"/>
        <v>0</v>
      </c>
      <c r="AV23" s="43">
        <f t="shared" si="6"/>
        <v>0</v>
      </c>
      <c r="AW23" s="43">
        <f t="shared" si="6"/>
        <v>0</v>
      </c>
      <c r="AX23" s="43">
        <f t="shared" si="6"/>
        <v>0</v>
      </c>
      <c r="AY23" s="43">
        <f t="shared" si="6"/>
        <v>0</v>
      </c>
      <c r="AZ23" s="43">
        <f t="shared" si="6"/>
        <v>0</v>
      </c>
      <c r="BA23" s="46">
        <f t="shared" si="6"/>
        <v>0</v>
      </c>
      <c r="BB23" s="57"/>
      <c r="BC23" s="58"/>
      <c r="BD23" s="59"/>
      <c r="BE23" s="60"/>
    </row>
    <row r="24" spans="1:57" s="61" customFormat="1" ht="15.75" x14ac:dyDescent="0.2">
      <c r="A24" s="48" t="s">
        <v>78</v>
      </c>
      <c r="B24" s="49" t="s">
        <v>79</v>
      </c>
      <c r="C24" s="34" t="s">
        <v>52</v>
      </c>
      <c r="D24" s="50"/>
      <c r="E24" s="33">
        <v>3</v>
      </c>
      <c r="F24" s="34"/>
      <c r="G24" s="50">
        <v>36</v>
      </c>
      <c r="H24" s="33">
        <f t="shared" ref="H24:H31" si="7">X24+AC24+AH24+AM24+AR24+AW24</f>
        <v>36</v>
      </c>
      <c r="I24" s="33">
        <f t="shared" ref="I24:I31" si="8">H24-J24-K24-L24-M24</f>
        <v>14</v>
      </c>
      <c r="J24" s="33">
        <f t="shared" ref="J24:J31" si="9">Y24+AD24+AI24+AN24+AS24+AX24</f>
        <v>18</v>
      </c>
      <c r="K24" s="33"/>
      <c r="L24" s="33">
        <f t="shared" ref="L24:L31" si="10">AA24+AF24+AK24+AP24+AU24+AZ24</f>
        <v>2</v>
      </c>
      <c r="M24" s="34">
        <f t="shared" ref="M24:M31" si="11">S24+W24+AB24+AG24+AL24+AQ24+AV24+BA24</f>
        <v>2</v>
      </c>
      <c r="N24" s="50">
        <v>32</v>
      </c>
      <c r="O24" s="34">
        <f t="shared" ref="O24:O31" si="12">G24-N24</f>
        <v>4</v>
      </c>
      <c r="P24" s="50"/>
      <c r="Q24" s="33"/>
      <c r="R24" s="33"/>
      <c r="S24" s="33"/>
      <c r="T24" s="33"/>
      <c r="U24" s="33"/>
      <c r="V24" s="33"/>
      <c r="W24" s="52"/>
      <c r="X24" s="50">
        <v>36</v>
      </c>
      <c r="Y24" s="33">
        <v>18</v>
      </c>
      <c r="Z24" s="33"/>
      <c r="AA24" s="33">
        <v>2</v>
      </c>
      <c r="AB24" s="33">
        <v>2</v>
      </c>
      <c r="AC24" s="33"/>
      <c r="AD24" s="33"/>
      <c r="AE24" s="33"/>
      <c r="AF24" s="33"/>
      <c r="AG24" s="52"/>
      <c r="AH24" s="50"/>
      <c r="AI24" s="33"/>
      <c r="AJ24" s="33"/>
      <c r="AK24" s="33"/>
      <c r="AL24" s="33"/>
      <c r="AM24" s="33"/>
      <c r="AN24" s="33"/>
      <c r="AO24" s="33"/>
      <c r="AP24" s="33"/>
      <c r="AQ24" s="52"/>
      <c r="AR24" s="50"/>
      <c r="AS24" s="33"/>
      <c r="AT24" s="33"/>
      <c r="AU24" s="33"/>
      <c r="AV24" s="33"/>
      <c r="AW24" s="33"/>
      <c r="AX24" s="33"/>
      <c r="AY24" s="33"/>
      <c r="AZ24" s="33"/>
      <c r="BA24" s="53"/>
      <c r="BB24" s="62"/>
      <c r="BC24" s="58"/>
      <c r="BD24" s="59"/>
    </row>
    <row r="25" spans="1:57" s="61" customFormat="1" ht="31.5" x14ac:dyDescent="0.2">
      <c r="A25" s="48" t="s">
        <v>80</v>
      </c>
      <c r="B25" s="63" t="s">
        <v>81</v>
      </c>
      <c r="C25" s="64" t="s">
        <v>82</v>
      </c>
      <c r="D25" s="50">
        <v>4</v>
      </c>
      <c r="E25" s="33">
        <v>6</v>
      </c>
      <c r="F25" s="34"/>
      <c r="G25" s="50">
        <v>160</v>
      </c>
      <c r="H25" s="33">
        <f t="shared" si="7"/>
        <v>160</v>
      </c>
      <c r="I25" s="33">
        <f t="shared" si="8"/>
        <v>0</v>
      </c>
      <c r="J25" s="33">
        <f t="shared" si="9"/>
        <v>148</v>
      </c>
      <c r="K25" s="33"/>
      <c r="L25" s="33">
        <f t="shared" si="10"/>
        <v>8</v>
      </c>
      <c r="M25" s="34">
        <f t="shared" si="11"/>
        <v>4</v>
      </c>
      <c r="N25" s="50">
        <v>120</v>
      </c>
      <c r="O25" s="34">
        <f t="shared" si="12"/>
        <v>40</v>
      </c>
      <c r="P25" s="50"/>
      <c r="Q25" s="33"/>
      <c r="R25" s="33"/>
      <c r="S25" s="33"/>
      <c r="T25" s="33"/>
      <c r="U25" s="33"/>
      <c r="V25" s="33"/>
      <c r="W25" s="52"/>
      <c r="X25" s="50">
        <v>36</v>
      </c>
      <c r="Y25" s="33">
        <v>34</v>
      </c>
      <c r="Z25" s="33"/>
      <c r="AA25" s="33">
        <v>2</v>
      </c>
      <c r="AB25" s="33"/>
      <c r="AC25" s="33">
        <v>50</v>
      </c>
      <c r="AD25" s="33">
        <v>46</v>
      </c>
      <c r="AE25" s="33"/>
      <c r="AF25" s="33">
        <v>2</v>
      </c>
      <c r="AG25" s="52">
        <v>2</v>
      </c>
      <c r="AH25" s="50">
        <v>36</v>
      </c>
      <c r="AI25" s="33">
        <v>34</v>
      </c>
      <c r="AJ25" s="33"/>
      <c r="AK25" s="33">
        <v>2</v>
      </c>
      <c r="AL25" s="33"/>
      <c r="AM25" s="33">
        <v>38</v>
      </c>
      <c r="AN25" s="33">
        <v>34</v>
      </c>
      <c r="AO25" s="33"/>
      <c r="AP25" s="33">
        <v>2</v>
      </c>
      <c r="AQ25" s="52">
        <v>2</v>
      </c>
      <c r="AR25" s="50"/>
      <c r="AS25" s="33"/>
      <c r="AT25" s="33"/>
      <c r="AU25" s="33"/>
      <c r="AV25" s="33"/>
      <c r="AW25" s="33"/>
      <c r="AX25" s="33"/>
      <c r="AY25" s="33"/>
      <c r="AZ25" s="33"/>
      <c r="BA25" s="53"/>
      <c r="BB25" s="65"/>
      <c r="BC25" s="58"/>
      <c r="BD25" s="59"/>
    </row>
    <row r="26" spans="1:57" s="61" customFormat="1" ht="15.75" x14ac:dyDescent="0.2">
      <c r="A26" s="48" t="s">
        <v>83</v>
      </c>
      <c r="B26" s="49" t="s">
        <v>67</v>
      </c>
      <c r="C26" s="34" t="s">
        <v>425</v>
      </c>
      <c r="D26" s="50" t="s">
        <v>424</v>
      </c>
      <c r="E26" s="33">
        <v>6</v>
      </c>
      <c r="F26" s="34"/>
      <c r="G26" s="50">
        <v>176</v>
      </c>
      <c r="H26" s="33">
        <f t="shared" si="7"/>
        <v>176</v>
      </c>
      <c r="I26" s="33">
        <f t="shared" si="8"/>
        <v>0</v>
      </c>
      <c r="J26" s="33">
        <f t="shared" si="9"/>
        <v>164</v>
      </c>
      <c r="K26" s="33"/>
      <c r="L26" s="33">
        <f t="shared" si="10"/>
        <v>4</v>
      </c>
      <c r="M26" s="34">
        <f t="shared" si="11"/>
        <v>8</v>
      </c>
      <c r="N26" s="50">
        <v>176</v>
      </c>
      <c r="O26" s="34">
        <f t="shared" si="12"/>
        <v>0</v>
      </c>
      <c r="P26" s="50"/>
      <c r="Q26" s="33"/>
      <c r="R26" s="33"/>
      <c r="S26" s="33"/>
      <c r="T26" s="33"/>
      <c r="U26" s="33"/>
      <c r="V26" s="33"/>
      <c r="W26" s="52"/>
      <c r="X26" s="50">
        <v>36</v>
      </c>
      <c r="Y26" s="33">
        <v>32</v>
      </c>
      <c r="Z26" s="33"/>
      <c r="AA26" s="33">
        <v>2</v>
      </c>
      <c r="AB26" s="33">
        <v>2</v>
      </c>
      <c r="AC26" s="33">
        <v>52</v>
      </c>
      <c r="AD26" s="33">
        <v>48</v>
      </c>
      <c r="AE26" s="33"/>
      <c r="AF26" s="33">
        <v>2</v>
      </c>
      <c r="AG26" s="52">
        <v>2</v>
      </c>
      <c r="AH26" s="50">
        <v>44</v>
      </c>
      <c r="AI26" s="33">
        <v>42</v>
      </c>
      <c r="AJ26" s="33"/>
      <c r="AK26" s="33"/>
      <c r="AL26" s="33">
        <v>2</v>
      </c>
      <c r="AM26" s="33">
        <v>44</v>
      </c>
      <c r="AN26" s="33">
        <v>42</v>
      </c>
      <c r="AO26" s="33"/>
      <c r="AP26" s="33"/>
      <c r="AQ26" s="52">
        <v>2</v>
      </c>
      <c r="AR26" s="50"/>
      <c r="AS26" s="33"/>
      <c r="AT26" s="33"/>
      <c r="AU26" s="33"/>
      <c r="AV26" s="33"/>
      <c r="AW26" s="33"/>
      <c r="AX26" s="33"/>
      <c r="AY26" s="33"/>
      <c r="AZ26" s="33"/>
      <c r="BA26" s="53"/>
      <c r="BB26" s="59"/>
      <c r="BC26" s="58"/>
      <c r="BD26" s="59"/>
    </row>
    <row r="27" spans="1:57" s="61" customFormat="1" ht="15.75" x14ac:dyDescent="0.2">
      <c r="A27" s="48" t="s">
        <v>84</v>
      </c>
      <c r="B27" s="49" t="s">
        <v>85</v>
      </c>
      <c r="C27" s="34" t="s">
        <v>52</v>
      </c>
      <c r="D27" s="50"/>
      <c r="E27" s="33">
        <v>4</v>
      </c>
      <c r="F27" s="34"/>
      <c r="G27" s="50">
        <v>68</v>
      </c>
      <c r="H27" s="33">
        <f t="shared" si="7"/>
        <v>68</v>
      </c>
      <c r="I27" s="33">
        <f t="shared" si="8"/>
        <v>34</v>
      </c>
      <c r="J27" s="33">
        <f t="shared" si="9"/>
        <v>28</v>
      </c>
      <c r="K27" s="33"/>
      <c r="L27" s="33">
        <f t="shared" si="10"/>
        <v>4</v>
      </c>
      <c r="M27" s="34">
        <f t="shared" si="11"/>
        <v>2</v>
      </c>
      <c r="N27" s="50">
        <v>68</v>
      </c>
      <c r="O27" s="34">
        <f t="shared" si="12"/>
        <v>0</v>
      </c>
      <c r="P27" s="50"/>
      <c r="Q27" s="33"/>
      <c r="R27" s="33"/>
      <c r="S27" s="33"/>
      <c r="T27" s="33"/>
      <c r="U27" s="33"/>
      <c r="V27" s="33"/>
      <c r="W27" s="52"/>
      <c r="X27" s="50">
        <v>34</v>
      </c>
      <c r="Y27" s="33">
        <v>14</v>
      </c>
      <c r="Z27" s="33"/>
      <c r="AA27" s="33">
        <v>2</v>
      </c>
      <c r="AB27" s="33"/>
      <c r="AC27" s="33">
        <v>34</v>
      </c>
      <c r="AD27" s="33">
        <v>14</v>
      </c>
      <c r="AE27" s="33"/>
      <c r="AF27" s="33">
        <v>2</v>
      </c>
      <c r="AG27" s="52">
        <v>2</v>
      </c>
      <c r="AH27" s="50"/>
      <c r="AI27" s="33"/>
      <c r="AJ27" s="33"/>
      <c r="AK27" s="33"/>
      <c r="AL27" s="33"/>
      <c r="AM27" s="33"/>
      <c r="AN27" s="33"/>
      <c r="AO27" s="33"/>
      <c r="AP27" s="33"/>
      <c r="AQ27" s="52"/>
      <c r="AR27" s="50"/>
      <c r="AS27" s="33"/>
      <c r="AT27" s="33"/>
      <c r="AU27" s="33"/>
      <c r="AV27" s="33"/>
      <c r="AW27" s="33"/>
      <c r="AX27" s="33"/>
      <c r="AY27" s="33"/>
      <c r="AZ27" s="33"/>
      <c r="BA27" s="53"/>
      <c r="BB27" s="59"/>
      <c r="BC27" s="58"/>
      <c r="BD27" s="59"/>
    </row>
    <row r="28" spans="1:57" s="61" customFormat="1" ht="15.75" x14ac:dyDescent="0.2">
      <c r="A28" s="48" t="s">
        <v>86</v>
      </c>
      <c r="B28" s="49" t="s">
        <v>87</v>
      </c>
      <c r="C28" s="34" t="s">
        <v>52</v>
      </c>
      <c r="D28" s="50"/>
      <c r="E28" s="33">
        <v>4</v>
      </c>
      <c r="F28" s="34"/>
      <c r="G28" s="50">
        <v>36</v>
      </c>
      <c r="H28" s="33">
        <f t="shared" si="7"/>
        <v>36</v>
      </c>
      <c r="I28" s="33">
        <f t="shared" si="8"/>
        <v>26</v>
      </c>
      <c r="J28" s="33">
        <f t="shared" si="9"/>
        <v>6</v>
      </c>
      <c r="K28" s="33"/>
      <c r="L28" s="33">
        <f t="shared" si="10"/>
        <v>2</v>
      </c>
      <c r="M28" s="34">
        <f t="shared" si="11"/>
        <v>2</v>
      </c>
      <c r="N28" s="50">
        <v>0</v>
      </c>
      <c r="O28" s="34">
        <f t="shared" si="12"/>
        <v>36</v>
      </c>
      <c r="P28" s="50"/>
      <c r="Q28" s="33"/>
      <c r="R28" s="33"/>
      <c r="S28" s="33"/>
      <c r="T28" s="33"/>
      <c r="U28" s="33"/>
      <c r="V28" s="33"/>
      <c r="W28" s="52"/>
      <c r="X28" s="50"/>
      <c r="Y28" s="33"/>
      <c r="Z28" s="33"/>
      <c r="AA28" s="33"/>
      <c r="AB28" s="33"/>
      <c r="AC28" s="33">
        <v>36</v>
      </c>
      <c r="AD28" s="33">
        <v>6</v>
      </c>
      <c r="AE28" s="33"/>
      <c r="AF28" s="33">
        <v>2</v>
      </c>
      <c r="AG28" s="52">
        <v>2</v>
      </c>
      <c r="AH28" s="50"/>
      <c r="AI28" s="33"/>
      <c r="AJ28" s="33"/>
      <c r="AK28" s="33"/>
      <c r="AL28" s="33"/>
      <c r="AM28" s="33"/>
      <c r="AN28" s="33"/>
      <c r="AO28" s="33"/>
      <c r="AP28" s="33"/>
      <c r="AQ28" s="52"/>
      <c r="AR28" s="50"/>
      <c r="AS28" s="33"/>
      <c r="AT28" s="33"/>
      <c r="AU28" s="33"/>
      <c r="AV28" s="33"/>
      <c r="AW28" s="33"/>
      <c r="AX28" s="33"/>
      <c r="AY28" s="33"/>
      <c r="AZ28" s="33"/>
      <c r="BA28" s="53"/>
      <c r="BB28" s="59"/>
      <c r="BC28" s="58"/>
      <c r="BD28" s="59"/>
    </row>
    <row r="29" spans="1:57" s="61" customFormat="1" ht="15.75" x14ac:dyDescent="0.2">
      <c r="A29" s="48" t="s">
        <v>88</v>
      </c>
      <c r="B29" s="49" t="s">
        <v>89</v>
      </c>
      <c r="C29" s="34" t="s">
        <v>52</v>
      </c>
      <c r="D29" s="50"/>
      <c r="E29" s="33">
        <v>3</v>
      </c>
      <c r="F29" s="34"/>
      <c r="G29" s="50">
        <v>36</v>
      </c>
      <c r="H29" s="33">
        <f t="shared" si="7"/>
        <v>36</v>
      </c>
      <c r="I29" s="33">
        <f t="shared" si="8"/>
        <v>32</v>
      </c>
      <c r="J29" s="33">
        <f t="shared" si="9"/>
        <v>0</v>
      </c>
      <c r="K29" s="33"/>
      <c r="L29" s="33">
        <f t="shared" si="10"/>
        <v>2</v>
      </c>
      <c r="M29" s="34">
        <f t="shared" si="11"/>
        <v>2</v>
      </c>
      <c r="N29" s="50">
        <v>0</v>
      </c>
      <c r="O29" s="34">
        <f t="shared" si="12"/>
        <v>36</v>
      </c>
      <c r="P29" s="50"/>
      <c r="Q29" s="33"/>
      <c r="R29" s="33"/>
      <c r="S29" s="33"/>
      <c r="T29" s="33"/>
      <c r="U29" s="33"/>
      <c r="V29" s="33"/>
      <c r="W29" s="34"/>
      <c r="X29" s="66">
        <v>36</v>
      </c>
      <c r="Y29" s="33"/>
      <c r="Z29" s="33"/>
      <c r="AA29" s="33">
        <v>2</v>
      </c>
      <c r="AB29" s="33">
        <v>2</v>
      </c>
      <c r="AC29" s="33"/>
      <c r="AD29" s="33"/>
      <c r="AE29" s="33"/>
      <c r="AF29" s="33"/>
      <c r="AG29" s="52"/>
      <c r="AH29" s="50"/>
      <c r="AI29" s="33"/>
      <c r="AJ29" s="33"/>
      <c r="AK29" s="33"/>
      <c r="AL29" s="33"/>
      <c r="AM29" s="33"/>
      <c r="AN29" s="33"/>
      <c r="AO29" s="33"/>
      <c r="AP29" s="33"/>
      <c r="AQ29" s="52"/>
      <c r="AR29" s="50"/>
      <c r="AS29" s="33"/>
      <c r="AT29" s="33"/>
      <c r="AU29" s="33"/>
      <c r="AV29" s="33"/>
      <c r="AW29" s="33"/>
      <c r="AX29" s="33"/>
      <c r="AY29" s="33"/>
      <c r="AZ29" s="33"/>
      <c r="BA29" s="53"/>
      <c r="BB29" s="59"/>
      <c r="BC29" s="58"/>
      <c r="BD29" s="59"/>
    </row>
    <row r="30" spans="1:57" s="61" customFormat="1" ht="15.75" x14ac:dyDescent="0.2">
      <c r="A30" s="48" t="s">
        <v>90</v>
      </c>
      <c r="B30" s="49" t="s">
        <v>91</v>
      </c>
      <c r="C30" s="34" t="s">
        <v>92</v>
      </c>
      <c r="D30" s="50"/>
      <c r="E30" s="33"/>
      <c r="F30" s="34">
        <v>4</v>
      </c>
      <c r="G30" s="50">
        <v>64</v>
      </c>
      <c r="H30" s="33">
        <f t="shared" si="7"/>
        <v>64</v>
      </c>
      <c r="I30" s="33">
        <f t="shared" si="8"/>
        <v>4</v>
      </c>
      <c r="J30" s="33">
        <f t="shared" si="9"/>
        <v>52</v>
      </c>
      <c r="K30" s="33"/>
      <c r="L30" s="33">
        <f t="shared" si="10"/>
        <v>4</v>
      </c>
      <c r="M30" s="34">
        <f t="shared" si="11"/>
        <v>4</v>
      </c>
      <c r="N30" s="50">
        <v>0</v>
      </c>
      <c r="O30" s="34">
        <f t="shared" si="12"/>
        <v>64</v>
      </c>
      <c r="P30" s="50"/>
      <c r="Q30" s="33"/>
      <c r="R30" s="33"/>
      <c r="S30" s="33"/>
      <c r="T30" s="33"/>
      <c r="U30" s="33"/>
      <c r="V30" s="33"/>
      <c r="W30" s="52"/>
      <c r="X30" s="50">
        <v>32</v>
      </c>
      <c r="Y30" s="33">
        <v>26</v>
      </c>
      <c r="Z30" s="33"/>
      <c r="AA30" s="33">
        <v>2</v>
      </c>
      <c r="AB30" s="33"/>
      <c r="AC30" s="33">
        <v>32</v>
      </c>
      <c r="AD30" s="33">
        <v>26</v>
      </c>
      <c r="AE30" s="33"/>
      <c r="AF30" s="33">
        <v>2</v>
      </c>
      <c r="AG30" s="52">
        <v>4</v>
      </c>
      <c r="AH30" s="50"/>
      <c r="AI30" s="33"/>
      <c r="AJ30" s="33"/>
      <c r="AK30" s="33"/>
      <c r="AL30" s="33"/>
      <c r="AM30" s="33"/>
      <c r="AN30" s="33"/>
      <c r="AO30" s="33"/>
      <c r="AP30" s="33"/>
      <c r="AQ30" s="52"/>
      <c r="AR30" s="50"/>
      <c r="AS30" s="33"/>
      <c r="AT30" s="33"/>
      <c r="AU30" s="33"/>
      <c r="AV30" s="33"/>
      <c r="AW30" s="33"/>
      <c r="AX30" s="33"/>
      <c r="AY30" s="33"/>
      <c r="AZ30" s="33"/>
      <c r="BA30" s="53"/>
      <c r="BB30" s="59"/>
      <c r="BC30" s="58"/>
      <c r="BD30" s="59"/>
    </row>
    <row r="31" spans="1:57" s="61" customFormat="1" ht="15.75" x14ac:dyDescent="0.2">
      <c r="A31" s="48" t="s">
        <v>93</v>
      </c>
      <c r="B31" s="49" t="s">
        <v>94</v>
      </c>
      <c r="C31" s="34" t="s">
        <v>52</v>
      </c>
      <c r="D31" s="50"/>
      <c r="E31" s="33">
        <v>6</v>
      </c>
      <c r="F31" s="34"/>
      <c r="G31" s="50">
        <v>36</v>
      </c>
      <c r="H31" s="33">
        <f t="shared" si="7"/>
        <v>36</v>
      </c>
      <c r="I31" s="33">
        <f t="shared" si="8"/>
        <v>32</v>
      </c>
      <c r="J31" s="33">
        <f t="shared" si="9"/>
        <v>0</v>
      </c>
      <c r="K31" s="33"/>
      <c r="L31" s="33">
        <f t="shared" si="10"/>
        <v>2</v>
      </c>
      <c r="M31" s="34">
        <f t="shared" si="11"/>
        <v>2</v>
      </c>
      <c r="N31" s="50">
        <v>0</v>
      </c>
      <c r="O31" s="34">
        <f t="shared" si="12"/>
        <v>36</v>
      </c>
      <c r="P31" s="50"/>
      <c r="Q31" s="33"/>
      <c r="R31" s="33"/>
      <c r="S31" s="33"/>
      <c r="T31" s="33"/>
      <c r="U31" s="33"/>
      <c r="V31" s="33"/>
      <c r="W31" s="52"/>
      <c r="X31" s="50"/>
      <c r="Y31" s="33"/>
      <c r="Z31" s="33"/>
      <c r="AA31" s="33"/>
      <c r="AB31" s="33"/>
      <c r="AC31" s="33"/>
      <c r="AD31" s="33"/>
      <c r="AE31" s="33"/>
      <c r="AF31" s="33"/>
      <c r="AG31" s="52"/>
      <c r="AH31" s="50"/>
      <c r="AI31" s="33"/>
      <c r="AJ31" s="33"/>
      <c r="AK31" s="33"/>
      <c r="AL31" s="33"/>
      <c r="AM31" s="33">
        <v>36</v>
      </c>
      <c r="AN31" s="33"/>
      <c r="AO31" s="33"/>
      <c r="AP31" s="33">
        <v>2</v>
      </c>
      <c r="AQ31" s="52">
        <v>2</v>
      </c>
      <c r="AR31" s="50"/>
      <c r="AS31" s="33"/>
      <c r="AT31" s="33"/>
      <c r="AU31" s="33"/>
      <c r="AV31" s="33"/>
      <c r="AW31" s="33"/>
      <c r="AX31" s="33"/>
      <c r="AY31" s="33"/>
      <c r="AZ31" s="33"/>
      <c r="BA31" s="53"/>
      <c r="BB31" s="59"/>
      <c r="BC31" s="58"/>
      <c r="BD31" s="59"/>
    </row>
    <row r="32" spans="1:57" s="61" customFormat="1" ht="15.75" x14ac:dyDescent="0.2">
      <c r="A32" s="48" t="s">
        <v>397</v>
      </c>
      <c r="B32" s="49" t="s">
        <v>398</v>
      </c>
      <c r="C32" s="34" t="s">
        <v>52</v>
      </c>
      <c r="D32" s="50"/>
      <c r="E32" s="33">
        <v>4</v>
      </c>
      <c r="F32" s="34"/>
      <c r="G32" s="50">
        <v>36</v>
      </c>
      <c r="H32" s="33">
        <f t="shared" ref="H32" si="13">X32+AC32+AH32+AM32+AR32+AW32</f>
        <v>36</v>
      </c>
      <c r="I32" s="33">
        <f t="shared" ref="I32" si="14">H32-J32-K32-L32-M32</f>
        <v>26</v>
      </c>
      <c r="J32" s="33">
        <f t="shared" ref="J32" si="15">Y32+AD32+AI32+AN32+AS32+AX32</f>
        <v>6</v>
      </c>
      <c r="K32" s="33"/>
      <c r="L32" s="33">
        <f t="shared" ref="L32" si="16">AA32+AF32+AK32+AP32+AU32+AZ32</f>
        <v>2</v>
      </c>
      <c r="M32" s="34">
        <f t="shared" ref="M32" si="17">S32+W32+AB32+AG32+AL32+AQ32+AV32+BA32</f>
        <v>2</v>
      </c>
      <c r="N32" s="50">
        <v>0</v>
      </c>
      <c r="O32" s="34">
        <f t="shared" ref="O32" si="18">G32-N32</f>
        <v>36</v>
      </c>
      <c r="P32" s="50"/>
      <c r="Q32" s="33"/>
      <c r="R32" s="33"/>
      <c r="S32" s="33"/>
      <c r="T32" s="33"/>
      <c r="U32" s="33"/>
      <c r="V32" s="33"/>
      <c r="W32" s="52"/>
      <c r="X32" s="50"/>
      <c r="Y32" s="33"/>
      <c r="Z32" s="33"/>
      <c r="AA32" s="33"/>
      <c r="AB32" s="33"/>
      <c r="AC32" s="33">
        <v>36</v>
      </c>
      <c r="AD32" s="33">
        <v>6</v>
      </c>
      <c r="AE32" s="33"/>
      <c r="AF32" s="33">
        <v>2</v>
      </c>
      <c r="AG32" s="52">
        <v>2</v>
      </c>
      <c r="AH32" s="50"/>
      <c r="AI32" s="33"/>
      <c r="AJ32" s="33"/>
      <c r="AK32" s="33"/>
      <c r="AL32" s="33"/>
      <c r="AM32" s="33"/>
      <c r="AN32" s="33"/>
      <c r="AO32" s="33"/>
      <c r="AP32" s="33"/>
      <c r="AQ32" s="52"/>
      <c r="AR32" s="50"/>
      <c r="AS32" s="33"/>
      <c r="AT32" s="33"/>
      <c r="AU32" s="33"/>
      <c r="AV32" s="33"/>
      <c r="AW32" s="33"/>
      <c r="AX32" s="33"/>
      <c r="AY32" s="33"/>
      <c r="AZ32" s="33"/>
      <c r="BA32" s="53"/>
      <c r="BB32" s="59"/>
      <c r="BC32" s="58"/>
      <c r="BD32" s="59"/>
    </row>
    <row r="33" spans="1:58" s="61" customFormat="1" ht="29.25" customHeight="1" x14ac:dyDescent="0.2">
      <c r="A33" s="42" t="s">
        <v>95</v>
      </c>
      <c r="B33" s="43" t="s">
        <v>96</v>
      </c>
      <c r="C33" s="44" t="str">
        <f>CONCATENATE(D33,"/",E33,"/",F33)</f>
        <v>0/12/5</v>
      </c>
      <c r="D33" s="42">
        <v>0</v>
      </c>
      <c r="E33" s="43">
        <v>12</v>
      </c>
      <c r="F33" s="45">
        <v>5</v>
      </c>
      <c r="G33" s="54">
        <f t="shared" ref="G33:O33" si="19">SUM(G34:G48)</f>
        <v>1168</v>
      </c>
      <c r="H33" s="55">
        <f t="shared" si="19"/>
        <v>1168</v>
      </c>
      <c r="I33" s="55">
        <f t="shared" si="19"/>
        <v>548</v>
      </c>
      <c r="J33" s="55">
        <f t="shared" si="19"/>
        <v>508</v>
      </c>
      <c r="K33" s="55">
        <f t="shared" si="19"/>
        <v>24</v>
      </c>
      <c r="L33" s="55">
        <f t="shared" si="19"/>
        <v>42</v>
      </c>
      <c r="M33" s="56">
        <f t="shared" si="19"/>
        <v>46</v>
      </c>
      <c r="N33" s="54">
        <f t="shared" si="19"/>
        <v>804</v>
      </c>
      <c r="O33" s="56">
        <f t="shared" si="19"/>
        <v>364</v>
      </c>
      <c r="P33" s="54">
        <f t="shared" ref="P33:W33" si="20">SUM(P34:P46)</f>
        <v>0</v>
      </c>
      <c r="Q33" s="55">
        <f t="shared" si="20"/>
        <v>0</v>
      </c>
      <c r="R33" s="55">
        <f t="shared" si="20"/>
        <v>0</v>
      </c>
      <c r="S33" s="55">
        <f t="shared" si="20"/>
        <v>0</v>
      </c>
      <c r="T33" s="55">
        <f t="shared" si="20"/>
        <v>0</v>
      </c>
      <c r="U33" s="55">
        <f t="shared" si="20"/>
        <v>0</v>
      </c>
      <c r="V33" s="55">
        <f t="shared" si="20"/>
        <v>0</v>
      </c>
      <c r="W33" s="56">
        <f t="shared" si="20"/>
        <v>0</v>
      </c>
      <c r="X33" s="54">
        <f t="shared" ref="X33:BA33" si="21">SUM(X34:X48)</f>
        <v>402</v>
      </c>
      <c r="Y33" s="55">
        <f t="shared" si="21"/>
        <v>168</v>
      </c>
      <c r="Z33" s="55">
        <f t="shared" si="21"/>
        <v>0</v>
      </c>
      <c r="AA33" s="55">
        <f t="shared" si="21"/>
        <v>12</v>
      </c>
      <c r="AB33" s="55">
        <f t="shared" si="21"/>
        <v>8</v>
      </c>
      <c r="AC33" s="55">
        <f t="shared" si="21"/>
        <v>394</v>
      </c>
      <c r="AD33" s="55">
        <f t="shared" si="21"/>
        <v>166</v>
      </c>
      <c r="AE33" s="55">
        <f t="shared" si="21"/>
        <v>0</v>
      </c>
      <c r="AF33" s="55">
        <f t="shared" si="21"/>
        <v>16</v>
      </c>
      <c r="AG33" s="56">
        <f t="shared" si="21"/>
        <v>24</v>
      </c>
      <c r="AH33" s="54">
        <f t="shared" si="21"/>
        <v>192</v>
      </c>
      <c r="AI33" s="55">
        <f t="shared" si="21"/>
        <v>100</v>
      </c>
      <c r="AJ33" s="55">
        <f t="shared" si="21"/>
        <v>0</v>
      </c>
      <c r="AK33" s="55">
        <f t="shared" si="21"/>
        <v>6</v>
      </c>
      <c r="AL33" s="55">
        <f t="shared" si="21"/>
        <v>2</v>
      </c>
      <c r="AM33" s="55">
        <f t="shared" si="21"/>
        <v>180</v>
      </c>
      <c r="AN33" s="55">
        <f t="shared" si="21"/>
        <v>74</v>
      </c>
      <c r="AO33" s="55">
        <f t="shared" si="21"/>
        <v>0</v>
      </c>
      <c r="AP33" s="55">
        <f t="shared" si="21"/>
        <v>8</v>
      </c>
      <c r="AQ33" s="67">
        <f t="shared" si="21"/>
        <v>12</v>
      </c>
      <c r="AR33" s="54">
        <f t="shared" si="21"/>
        <v>0</v>
      </c>
      <c r="AS33" s="55">
        <f t="shared" si="21"/>
        <v>0</v>
      </c>
      <c r="AT33" s="55">
        <f t="shared" si="21"/>
        <v>0</v>
      </c>
      <c r="AU33" s="55">
        <f t="shared" si="21"/>
        <v>0</v>
      </c>
      <c r="AV33" s="55">
        <f t="shared" si="21"/>
        <v>0</v>
      </c>
      <c r="AW33" s="55">
        <f t="shared" si="21"/>
        <v>0</v>
      </c>
      <c r="AX33" s="55">
        <f t="shared" si="21"/>
        <v>0</v>
      </c>
      <c r="AY33" s="55">
        <f t="shared" si="21"/>
        <v>0</v>
      </c>
      <c r="AZ33" s="55">
        <f t="shared" si="21"/>
        <v>0</v>
      </c>
      <c r="BA33" s="56">
        <f t="shared" si="21"/>
        <v>0</v>
      </c>
      <c r="BB33" s="57"/>
      <c r="BC33" s="58"/>
      <c r="BD33" s="59"/>
      <c r="BE33" s="60"/>
    </row>
    <row r="34" spans="1:58" s="61" customFormat="1" ht="31.5" x14ac:dyDescent="0.2">
      <c r="A34" s="48" t="s">
        <v>97</v>
      </c>
      <c r="B34" s="63" t="s">
        <v>98</v>
      </c>
      <c r="C34" s="34" t="s">
        <v>92</v>
      </c>
      <c r="D34" s="50"/>
      <c r="E34" s="33"/>
      <c r="F34" s="34">
        <v>4</v>
      </c>
      <c r="G34" s="50">
        <v>112</v>
      </c>
      <c r="H34" s="33">
        <f t="shared" ref="H34:H48" si="22">X34+AC34+AH34+AM34+AR34+AW34</f>
        <v>112</v>
      </c>
      <c r="I34" s="33">
        <f t="shared" ref="I34:I48" si="23">H34-J34-K34-L34-M34</f>
        <v>48</v>
      </c>
      <c r="J34" s="33">
        <f t="shared" ref="J34:J48" si="24">Y34+AD34+AI34+AN34+AS34+AX34</f>
        <v>56</v>
      </c>
      <c r="K34" s="33"/>
      <c r="L34" s="33">
        <f t="shared" ref="L34:L48" si="25">AA34+AF34+AK34+AP34+AU34+AZ34</f>
        <v>4</v>
      </c>
      <c r="M34" s="34">
        <f t="shared" ref="M34:M48" si="26">S34+W34+AB34+AG34+AL34+AQ34+AV34+BA34</f>
        <v>4</v>
      </c>
      <c r="N34" s="50">
        <v>112</v>
      </c>
      <c r="O34" s="34">
        <f t="shared" ref="O34:O48" si="27">G34-N34</f>
        <v>0</v>
      </c>
      <c r="P34" s="50"/>
      <c r="Q34" s="33"/>
      <c r="R34" s="33"/>
      <c r="S34" s="33"/>
      <c r="T34" s="33"/>
      <c r="U34" s="33"/>
      <c r="V34" s="33"/>
      <c r="W34" s="52"/>
      <c r="X34" s="50">
        <v>56</v>
      </c>
      <c r="Y34" s="33">
        <v>28</v>
      </c>
      <c r="Z34" s="33"/>
      <c r="AA34" s="33">
        <v>2</v>
      </c>
      <c r="AB34" s="33"/>
      <c r="AC34" s="33">
        <v>56</v>
      </c>
      <c r="AD34" s="33">
        <v>28</v>
      </c>
      <c r="AE34" s="33"/>
      <c r="AF34" s="33">
        <v>2</v>
      </c>
      <c r="AG34" s="52">
        <v>4</v>
      </c>
      <c r="AH34" s="50"/>
      <c r="AI34" s="33"/>
      <c r="AJ34" s="33"/>
      <c r="AK34" s="33"/>
      <c r="AL34" s="33"/>
      <c r="AM34" s="33"/>
      <c r="AN34" s="33"/>
      <c r="AO34" s="33"/>
      <c r="AP34" s="33"/>
      <c r="AQ34" s="52"/>
      <c r="AR34" s="50"/>
      <c r="AS34" s="33"/>
      <c r="AT34" s="33"/>
      <c r="AU34" s="33"/>
      <c r="AV34" s="33"/>
      <c r="AW34" s="33"/>
      <c r="AX34" s="33"/>
      <c r="AY34" s="33"/>
      <c r="AZ34" s="33"/>
      <c r="BA34" s="53"/>
      <c r="BB34" s="22"/>
      <c r="BC34" s="58"/>
      <c r="BD34" s="59"/>
    </row>
    <row r="35" spans="1:58" s="61" customFormat="1" ht="15.75" x14ac:dyDescent="0.2">
      <c r="A35" s="48" t="s">
        <v>99</v>
      </c>
      <c r="B35" s="63" t="s">
        <v>100</v>
      </c>
      <c r="C35" s="34" t="s">
        <v>52</v>
      </c>
      <c r="D35" s="50"/>
      <c r="E35" s="33">
        <v>4</v>
      </c>
      <c r="F35" s="34"/>
      <c r="G35" s="50">
        <v>36</v>
      </c>
      <c r="H35" s="33">
        <f t="shared" si="22"/>
        <v>36</v>
      </c>
      <c r="I35" s="33">
        <f t="shared" si="23"/>
        <v>10</v>
      </c>
      <c r="J35" s="33">
        <f t="shared" si="24"/>
        <v>22</v>
      </c>
      <c r="K35" s="33"/>
      <c r="L35" s="33">
        <f t="shared" si="25"/>
        <v>2</v>
      </c>
      <c r="M35" s="34">
        <f t="shared" si="26"/>
        <v>2</v>
      </c>
      <c r="N35" s="50">
        <v>32</v>
      </c>
      <c r="O35" s="34">
        <f t="shared" si="27"/>
        <v>4</v>
      </c>
      <c r="P35" s="50"/>
      <c r="Q35" s="33"/>
      <c r="R35" s="33"/>
      <c r="S35" s="33"/>
      <c r="T35" s="33"/>
      <c r="U35" s="33"/>
      <c r="V35" s="33"/>
      <c r="W35" s="52"/>
      <c r="X35" s="50"/>
      <c r="Y35" s="33"/>
      <c r="Z35" s="33"/>
      <c r="AA35" s="33"/>
      <c r="AB35" s="33"/>
      <c r="AC35" s="33">
        <v>36</v>
      </c>
      <c r="AD35" s="33">
        <v>22</v>
      </c>
      <c r="AE35" s="33"/>
      <c r="AF35" s="33">
        <v>2</v>
      </c>
      <c r="AG35" s="52">
        <v>2</v>
      </c>
      <c r="AH35" s="50"/>
      <c r="AI35" s="33"/>
      <c r="AJ35" s="33"/>
      <c r="AK35" s="33"/>
      <c r="AL35" s="33"/>
      <c r="AM35" s="33"/>
      <c r="AN35" s="33"/>
      <c r="AO35" s="33"/>
      <c r="AP35" s="33"/>
      <c r="AQ35" s="52"/>
      <c r="AR35" s="50"/>
      <c r="AS35" s="33"/>
      <c r="AT35" s="33"/>
      <c r="AU35" s="33"/>
      <c r="AV35" s="33"/>
      <c r="AW35" s="33"/>
      <c r="AX35" s="33"/>
      <c r="AY35" s="33"/>
      <c r="AZ35" s="33"/>
      <c r="BA35" s="53"/>
      <c r="BB35" s="22"/>
      <c r="BC35" s="58"/>
      <c r="BD35" s="59"/>
    </row>
    <row r="36" spans="1:58" ht="15.75" x14ac:dyDescent="0.2">
      <c r="A36" s="48" t="s">
        <v>101</v>
      </c>
      <c r="B36" s="63" t="s">
        <v>102</v>
      </c>
      <c r="C36" s="34" t="s">
        <v>92</v>
      </c>
      <c r="D36" s="50"/>
      <c r="E36" s="33"/>
      <c r="F36" s="34">
        <v>3</v>
      </c>
      <c r="G36" s="50">
        <v>100</v>
      </c>
      <c r="H36" s="33">
        <f t="shared" si="22"/>
        <v>100</v>
      </c>
      <c r="I36" s="33">
        <f t="shared" si="23"/>
        <v>46</v>
      </c>
      <c r="J36" s="33">
        <f t="shared" si="24"/>
        <v>48</v>
      </c>
      <c r="K36" s="33"/>
      <c r="L36" s="33">
        <f t="shared" si="25"/>
        <v>2</v>
      </c>
      <c r="M36" s="34">
        <f t="shared" si="26"/>
        <v>4</v>
      </c>
      <c r="N36" s="50">
        <v>84</v>
      </c>
      <c r="O36" s="34">
        <f t="shared" si="27"/>
        <v>16</v>
      </c>
      <c r="P36" s="50"/>
      <c r="Q36" s="33"/>
      <c r="R36" s="33"/>
      <c r="S36" s="33"/>
      <c r="T36" s="33"/>
      <c r="U36" s="33"/>
      <c r="V36" s="33"/>
      <c r="W36" s="52"/>
      <c r="X36" s="50">
        <v>100</v>
      </c>
      <c r="Y36" s="33">
        <v>48</v>
      </c>
      <c r="Z36" s="33"/>
      <c r="AA36" s="33">
        <v>2</v>
      </c>
      <c r="AB36" s="33">
        <v>4</v>
      </c>
      <c r="AC36" s="33"/>
      <c r="AD36" s="33"/>
      <c r="AE36" s="33"/>
      <c r="AF36" s="33"/>
      <c r="AG36" s="52"/>
      <c r="AH36" s="50"/>
      <c r="AI36" s="33"/>
      <c r="AJ36" s="33"/>
      <c r="AK36" s="33"/>
      <c r="AL36" s="33"/>
      <c r="AM36" s="33"/>
      <c r="AN36" s="33"/>
      <c r="AO36" s="33"/>
      <c r="AP36" s="33"/>
      <c r="AQ36" s="52"/>
      <c r="AR36" s="50"/>
      <c r="AS36" s="33"/>
      <c r="AT36" s="33"/>
      <c r="AU36" s="33"/>
      <c r="AV36" s="33"/>
      <c r="AW36" s="33"/>
      <c r="AX36" s="33"/>
      <c r="AY36" s="33"/>
      <c r="AZ36" s="33"/>
      <c r="BA36" s="53"/>
      <c r="BB36" s="22"/>
      <c r="BC36" s="58"/>
      <c r="BD36" s="4"/>
    </row>
    <row r="37" spans="1:58" ht="15.75" x14ac:dyDescent="0.2">
      <c r="A37" s="48" t="s">
        <v>103</v>
      </c>
      <c r="B37" s="63" t="s">
        <v>104</v>
      </c>
      <c r="C37" s="34" t="s">
        <v>92</v>
      </c>
      <c r="D37" s="50"/>
      <c r="E37" s="33"/>
      <c r="F37" s="34">
        <v>4</v>
      </c>
      <c r="G37" s="50">
        <v>120</v>
      </c>
      <c r="H37" s="33">
        <f t="shared" si="22"/>
        <v>120</v>
      </c>
      <c r="I37" s="33">
        <f t="shared" si="23"/>
        <v>44</v>
      </c>
      <c r="J37" s="33">
        <f t="shared" si="24"/>
        <v>68</v>
      </c>
      <c r="K37" s="33"/>
      <c r="L37" s="33">
        <f t="shared" si="25"/>
        <v>4</v>
      </c>
      <c r="M37" s="34">
        <f t="shared" si="26"/>
        <v>4</v>
      </c>
      <c r="N37" s="50">
        <v>120</v>
      </c>
      <c r="O37" s="34">
        <f t="shared" si="27"/>
        <v>0</v>
      </c>
      <c r="P37" s="50"/>
      <c r="Q37" s="33"/>
      <c r="R37" s="33"/>
      <c r="S37" s="33"/>
      <c r="T37" s="33"/>
      <c r="U37" s="33"/>
      <c r="V37" s="33"/>
      <c r="W37" s="52"/>
      <c r="X37" s="50">
        <v>60</v>
      </c>
      <c r="Y37" s="33">
        <v>34</v>
      </c>
      <c r="Z37" s="33"/>
      <c r="AA37" s="33">
        <v>2</v>
      </c>
      <c r="AB37" s="33"/>
      <c r="AC37" s="33">
        <v>60</v>
      </c>
      <c r="AD37" s="33">
        <v>34</v>
      </c>
      <c r="AE37" s="33"/>
      <c r="AF37" s="33">
        <v>2</v>
      </c>
      <c r="AG37" s="52">
        <v>4</v>
      </c>
      <c r="AH37" s="50"/>
      <c r="AI37" s="33"/>
      <c r="AJ37" s="33"/>
      <c r="AK37" s="33"/>
      <c r="AL37" s="33"/>
      <c r="AM37" s="33"/>
      <c r="AN37" s="33"/>
      <c r="AO37" s="33"/>
      <c r="AP37" s="33"/>
      <c r="AQ37" s="52"/>
      <c r="AR37" s="50"/>
      <c r="AS37" s="33"/>
      <c r="AT37" s="33"/>
      <c r="AU37" s="33"/>
      <c r="AV37" s="33"/>
      <c r="AW37" s="33"/>
      <c r="AX37" s="33"/>
      <c r="AY37" s="33"/>
      <c r="AZ37" s="33"/>
      <c r="BA37" s="53"/>
      <c r="BB37" s="22"/>
      <c r="BC37" s="58"/>
      <c r="BD37" s="4"/>
    </row>
    <row r="38" spans="1:58" ht="15.75" x14ac:dyDescent="0.2">
      <c r="A38" s="48" t="s">
        <v>105</v>
      </c>
      <c r="B38" s="63" t="s">
        <v>106</v>
      </c>
      <c r="C38" s="34" t="s">
        <v>92</v>
      </c>
      <c r="D38" s="50"/>
      <c r="E38" s="33"/>
      <c r="F38" s="34">
        <v>3</v>
      </c>
      <c r="G38" s="50">
        <v>100</v>
      </c>
      <c r="H38" s="33">
        <f t="shared" si="22"/>
        <v>100</v>
      </c>
      <c r="I38" s="33">
        <f t="shared" si="23"/>
        <v>60</v>
      </c>
      <c r="J38" s="33">
        <f t="shared" si="24"/>
        <v>34</v>
      </c>
      <c r="K38" s="33"/>
      <c r="L38" s="33">
        <f t="shared" si="25"/>
        <v>2</v>
      </c>
      <c r="M38" s="34">
        <f t="shared" si="26"/>
        <v>4</v>
      </c>
      <c r="N38" s="50">
        <v>54</v>
      </c>
      <c r="O38" s="34">
        <f t="shared" si="27"/>
        <v>46</v>
      </c>
      <c r="P38" s="50"/>
      <c r="Q38" s="33"/>
      <c r="R38" s="33"/>
      <c r="S38" s="33"/>
      <c r="T38" s="33"/>
      <c r="U38" s="33"/>
      <c r="V38" s="33"/>
      <c r="W38" s="52"/>
      <c r="X38" s="50">
        <v>100</v>
      </c>
      <c r="Y38" s="33">
        <v>34</v>
      </c>
      <c r="Z38" s="33"/>
      <c r="AA38" s="33">
        <v>2</v>
      </c>
      <c r="AB38" s="33">
        <v>4</v>
      </c>
      <c r="AC38" s="33"/>
      <c r="AD38" s="33"/>
      <c r="AE38" s="33"/>
      <c r="AF38" s="33"/>
      <c r="AG38" s="52"/>
      <c r="AH38" s="50"/>
      <c r="AI38" s="33"/>
      <c r="AJ38" s="33"/>
      <c r="AK38" s="33"/>
      <c r="AL38" s="33"/>
      <c r="AM38" s="33"/>
      <c r="AN38" s="33"/>
      <c r="AO38" s="33"/>
      <c r="AP38" s="33"/>
      <c r="AQ38" s="52"/>
      <c r="AR38" s="50"/>
      <c r="AS38" s="33"/>
      <c r="AT38" s="33"/>
      <c r="AU38" s="33"/>
      <c r="AV38" s="33"/>
      <c r="AW38" s="33"/>
      <c r="AX38" s="33"/>
      <c r="AY38" s="33"/>
      <c r="AZ38" s="33"/>
      <c r="BA38" s="53"/>
      <c r="BB38" s="22"/>
      <c r="BC38" s="58"/>
      <c r="BD38" s="4"/>
    </row>
    <row r="39" spans="1:58" ht="15.75" x14ac:dyDescent="0.2">
      <c r="A39" s="48" t="s">
        <v>107</v>
      </c>
      <c r="B39" s="63" t="s">
        <v>108</v>
      </c>
      <c r="C39" s="34" t="s">
        <v>92</v>
      </c>
      <c r="D39" s="50"/>
      <c r="E39" s="33"/>
      <c r="F39" s="34">
        <v>4</v>
      </c>
      <c r="G39" s="50">
        <v>100</v>
      </c>
      <c r="H39" s="33">
        <f t="shared" si="22"/>
        <v>100</v>
      </c>
      <c r="I39" s="33">
        <f t="shared" si="23"/>
        <v>52</v>
      </c>
      <c r="J39" s="33">
        <f t="shared" si="24"/>
        <v>40</v>
      </c>
      <c r="K39" s="33"/>
      <c r="L39" s="33">
        <f t="shared" si="25"/>
        <v>4</v>
      </c>
      <c r="M39" s="34">
        <f t="shared" si="26"/>
        <v>4</v>
      </c>
      <c r="N39" s="50">
        <v>54</v>
      </c>
      <c r="O39" s="34">
        <f t="shared" si="27"/>
        <v>46</v>
      </c>
      <c r="P39" s="50"/>
      <c r="Q39" s="33"/>
      <c r="R39" s="33"/>
      <c r="S39" s="33"/>
      <c r="T39" s="33"/>
      <c r="U39" s="33"/>
      <c r="V39" s="33"/>
      <c r="W39" s="52"/>
      <c r="X39" s="50">
        <v>50</v>
      </c>
      <c r="Y39" s="33">
        <v>14</v>
      </c>
      <c r="Z39" s="33"/>
      <c r="AA39" s="33">
        <v>2</v>
      </c>
      <c r="AB39" s="33"/>
      <c r="AC39" s="33">
        <v>50</v>
      </c>
      <c r="AD39" s="33">
        <v>26</v>
      </c>
      <c r="AE39" s="33"/>
      <c r="AF39" s="33">
        <v>2</v>
      </c>
      <c r="AG39" s="52">
        <v>4</v>
      </c>
      <c r="AH39" s="50"/>
      <c r="AI39" s="33"/>
      <c r="AJ39" s="33"/>
      <c r="AK39" s="33"/>
      <c r="AL39" s="33"/>
      <c r="AM39" s="33"/>
      <c r="AN39" s="33"/>
      <c r="AO39" s="33"/>
      <c r="AP39" s="33"/>
      <c r="AQ39" s="52"/>
      <c r="AR39" s="50"/>
      <c r="AS39" s="33"/>
      <c r="AT39" s="33"/>
      <c r="AU39" s="33"/>
      <c r="AV39" s="33"/>
      <c r="AW39" s="33"/>
      <c r="AX39" s="33"/>
      <c r="AY39" s="33"/>
      <c r="AZ39" s="33"/>
      <c r="BA39" s="53"/>
      <c r="BB39" s="22"/>
      <c r="BC39" s="58"/>
      <c r="BD39" s="4"/>
    </row>
    <row r="40" spans="1:58" ht="15.75" x14ac:dyDescent="0.2">
      <c r="A40" s="48" t="s">
        <v>109</v>
      </c>
      <c r="B40" s="63" t="s">
        <v>110</v>
      </c>
      <c r="C40" s="34" t="s">
        <v>52</v>
      </c>
      <c r="D40" s="50"/>
      <c r="E40" s="33">
        <v>4</v>
      </c>
      <c r="F40" s="34"/>
      <c r="G40" s="50">
        <v>36</v>
      </c>
      <c r="H40" s="33">
        <f t="shared" si="22"/>
        <v>36</v>
      </c>
      <c r="I40" s="33">
        <f t="shared" si="23"/>
        <v>12</v>
      </c>
      <c r="J40" s="33">
        <f t="shared" si="24"/>
        <v>20</v>
      </c>
      <c r="K40" s="33"/>
      <c r="L40" s="33">
        <f t="shared" si="25"/>
        <v>2</v>
      </c>
      <c r="M40" s="34">
        <f t="shared" si="26"/>
        <v>2</v>
      </c>
      <c r="N40" s="50">
        <v>36</v>
      </c>
      <c r="O40" s="34">
        <f t="shared" si="27"/>
        <v>0</v>
      </c>
      <c r="P40" s="50"/>
      <c r="Q40" s="33"/>
      <c r="R40" s="33"/>
      <c r="S40" s="33"/>
      <c r="T40" s="33"/>
      <c r="U40" s="33"/>
      <c r="V40" s="33"/>
      <c r="W40" s="52"/>
      <c r="X40" s="50"/>
      <c r="Y40" s="33"/>
      <c r="Z40" s="33"/>
      <c r="AA40" s="33"/>
      <c r="AB40" s="33"/>
      <c r="AC40" s="33">
        <v>36</v>
      </c>
      <c r="AD40" s="33">
        <v>20</v>
      </c>
      <c r="AE40" s="33"/>
      <c r="AF40" s="33">
        <v>2</v>
      </c>
      <c r="AG40" s="52">
        <v>2</v>
      </c>
      <c r="AH40" s="50"/>
      <c r="AI40" s="33"/>
      <c r="AJ40" s="33"/>
      <c r="AK40" s="33"/>
      <c r="AL40" s="33"/>
      <c r="AM40" s="33"/>
      <c r="AN40" s="33"/>
      <c r="AO40" s="33"/>
      <c r="AP40" s="33"/>
      <c r="AQ40" s="52"/>
      <c r="AR40" s="50"/>
      <c r="AS40" s="33"/>
      <c r="AT40" s="33"/>
      <c r="AU40" s="33"/>
      <c r="AV40" s="33"/>
      <c r="AW40" s="33"/>
      <c r="AX40" s="33"/>
      <c r="AY40" s="33"/>
      <c r="AZ40" s="33"/>
      <c r="BA40" s="53"/>
      <c r="BB40" s="22"/>
      <c r="BC40" s="58"/>
      <c r="BD40" s="4"/>
    </row>
    <row r="41" spans="1:58" ht="15.75" x14ac:dyDescent="0.2">
      <c r="A41" s="48" t="s">
        <v>111</v>
      </c>
      <c r="B41" s="63" t="s">
        <v>420</v>
      </c>
      <c r="C41" s="34" t="s">
        <v>52</v>
      </c>
      <c r="D41" s="50"/>
      <c r="E41" s="33">
        <v>3</v>
      </c>
      <c r="F41" s="34"/>
      <c r="G41" s="50">
        <v>72</v>
      </c>
      <c r="H41" s="33">
        <f t="shared" si="22"/>
        <v>72</v>
      </c>
      <c r="I41" s="33">
        <f t="shared" si="23"/>
        <v>50</v>
      </c>
      <c r="J41" s="33">
        <f t="shared" si="24"/>
        <v>16</v>
      </c>
      <c r="K41" s="33"/>
      <c r="L41" s="33">
        <f t="shared" si="25"/>
        <v>4</v>
      </c>
      <c r="M41" s="34">
        <f t="shared" si="26"/>
        <v>2</v>
      </c>
      <c r="N41" s="50">
        <v>64</v>
      </c>
      <c r="O41" s="34">
        <f t="shared" si="27"/>
        <v>8</v>
      </c>
      <c r="P41" s="50"/>
      <c r="Q41" s="33"/>
      <c r="R41" s="33"/>
      <c r="S41" s="33"/>
      <c r="T41" s="33"/>
      <c r="U41" s="33"/>
      <c r="V41" s="33"/>
      <c r="W41" s="52"/>
      <c r="X41" s="50">
        <v>36</v>
      </c>
      <c r="Y41" s="33">
        <v>10</v>
      </c>
      <c r="Z41" s="33"/>
      <c r="AA41" s="33">
        <v>2</v>
      </c>
      <c r="AB41" s="33"/>
      <c r="AC41" s="33">
        <v>36</v>
      </c>
      <c r="AD41" s="33">
        <v>6</v>
      </c>
      <c r="AE41" s="33"/>
      <c r="AF41" s="33">
        <v>2</v>
      </c>
      <c r="AG41" s="52">
        <v>2</v>
      </c>
      <c r="AH41" s="50"/>
      <c r="AI41" s="33"/>
      <c r="AJ41" s="33"/>
      <c r="AK41" s="33"/>
      <c r="AL41" s="33"/>
      <c r="AM41" s="33"/>
      <c r="AN41" s="33"/>
      <c r="AO41" s="33"/>
      <c r="AP41" s="33"/>
      <c r="AQ41" s="52"/>
      <c r="AR41" s="50"/>
      <c r="AS41" s="33"/>
      <c r="AT41" s="33"/>
      <c r="AU41" s="33"/>
      <c r="AV41" s="33"/>
      <c r="AW41" s="33"/>
      <c r="AX41" s="33"/>
      <c r="AY41" s="33"/>
      <c r="AZ41" s="33"/>
      <c r="BA41" s="53"/>
      <c r="BB41" s="68"/>
      <c r="BC41" s="58"/>
      <c r="BD41" s="4"/>
      <c r="BF41" s="69"/>
    </row>
    <row r="42" spans="1:58" ht="15.75" x14ac:dyDescent="0.2">
      <c r="A42" s="48" t="s">
        <v>112</v>
      </c>
      <c r="B42" s="63" t="s">
        <v>422</v>
      </c>
      <c r="C42" s="34" t="s">
        <v>92</v>
      </c>
      <c r="D42" s="50"/>
      <c r="E42" s="33"/>
      <c r="F42" s="34">
        <v>6</v>
      </c>
      <c r="G42" s="50">
        <v>40</v>
      </c>
      <c r="H42" s="33">
        <f t="shared" si="22"/>
        <v>40</v>
      </c>
      <c r="I42" s="33">
        <f t="shared" si="23"/>
        <v>24</v>
      </c>
      <c r="J42" s="33">
        <f t="shared" si="24"/>
        <v>10</v>
      </c>
      <c r="K42" s="33"/>
      <c r="L42" s="33">
        <f t="shared" si="25"/>
        <v>2</v>
      </c>
      <c r="M42" s="34">
        <f t="shared" si="26"/>
        <v>4</v>
      </c>
      <c r="N42" s="50">
        <v>40</v>
      </c>
      <c r="O42" s="34">
        <f t="shared" si="27"/>
        <v>0</v>
      </c>
      <c r="P42" s="50"/>
      <c r="Q42" s="33"/>
      <c r="R42" s="33"/>
      <c r="S42" s="33"/>
      <c r="T42" s="33"/>
      <c r="U42" s="33"/>
      <c r="V42" s="33"/>
      <c r="W42" s="52"/>
      <c r="X42" s="50"/>
      <c r="Y42" s="33"/>
      <c r="Z42" s="33"/>
      <c r="AA42" s="33"/>
      <c r="AB42" s="33"/>
      <c r="AC42" s="33"/>
      <c r="AD42" s="33"/>
      <c r="AE42" s="33"/>
      <c r="AF42" s="33"/>
      <c r="AG42" s="52"/>
      <c r="AH42" s="50"/>
      <c r="AI42" s="33"/>
      <c r="AJ42" s="33"/>
      <c r="AK42" s="33"/>
      <c r="AL42" s="33"/>
      <c r="AM42" s="33">
        <v>40</v>
      </c>
      <c r="AN42" s="33">
        <v>10</v>
      </c>
      <c r="AO42" s="33"/>
      <c r="AP42" s="33">
        <v>2</v>
      </c>
      <c r="AQ42" s="52">
        <v>4</v>
      </c>
      <c r="AR42" s="50"/>
      <c r="AS42" s="33"/>
      <c r="AT42" s="33"/>
      <c r="AU42" s="33"/>
      <c r="AV42" s="33"/>
      <c r="AW42" s="33"/>
      <c r="AX42" s="33"/>
      <c r="AY42" s="33"/>
      <c r="AZ42" s="33"/>
      <c r="BA42" s="53"/>
      <c r="BB42" s="22"/>
      <c r="BC42" s="58"/>
      <c r="BD42" s="4"/>
    </row>
    <row r="43" spans="1:58" ht="31.5" x14ac:dyDescent="0.2">
      <c r="A43" s="48" t="s">
        <v>113</v>
      </c>
      <c r="B43" s="63" t="s">
        <v>114</v>
      </c>
      <c r="C43" s="34" t="s">
        <v>92</v>
      </c>
      <c r="D43" s="50"/>
      <c r="E43" s="33"/>
      <c r="F43" s="34">
        <v>6</v>
      </c>
      <c r="G43" s="50">
        <v>100</v>
      </c>
      <c r="H43" s="33">
        <f t="shared" si="22"/>
        <v>100</v>
      </c>
      <c r="I43" s="33">
        <f t="shared" si="23"/>
        <v>4</v>
      </c>
      <c r="J43" s="33">
        <f t="shared" si="24"/>
        <v>88</v>
      </c>
      <c r="K43" s="33"/>
      <c r="L43" s="33">
        <f t="shared" si="25"/>
        <v>4</v>
      </c>
      <c r="M43" s="34">
        <f t="shared" si="26"/>
        <v>4</v>
      </c>
      <c r="N43" s="50">
        <v>64</v>
      </c>
      <c r="O43" s="34">
        <f t="shared" si="27"/>
        <v>36</v>
      </c>
      <c r="P43" s="50"/>
      <c r="Q43" s="33"/>
      <c r="R43" s="33"/>
      <c r="S43" s="33"/>
      <c r="T43" s="33"/>
      <c r="U43" s="33"/>
      <c r="V43" s="33"/>
      <c r="W43" s="52"/>
      <c r="X43" s="50"/>
      <c r="Y43" s="33"/>
      <c r="Z43" s="33"/>
      <c r="AA43" s="33"/>
      <c r="AB43" s="33"/>
      <c r="AC43" s="33"/>
      <c r="AD43" s="33"/>
      <c r="AE43" s="33"/>
      <c r="AF43" s="33"/>
      <c r="AG43" s="52"/>
      <c r="AH43" s="50">
        <v>66</v>
      </c>
      <c r="AI43" s="33">
        <v>60</v>
      </c>
      <c r="AJ43" s="33"/>
      <c r="AK43" s="33">
        <v>2</v>
      </c>
      <c r="AL43" s="33"/>
      <c r="AM43" s="33">
        <v>34</v>
      </c>
      <c r="AN43" s="33">
        <v>28</v>
      </c>
      <c r="AO43" s="33"/>
      <c r="AP43" s="33">
        <v>2</v>
      </c>
      <c r="AQ43" s="52">
        <v>4</v>
      </c>
      <c r="AR43" s="50"/>
      <c r="AS43" s="33"/>
      <c r="AT43" s="33"/>
      <c r="AU43" s="33"/>
      <c r="AV43" s="33"/>
      <c r="AW43" s="33"/>
      <c r="AX43" s="33"/>
      <c r="AY43" s="33"/>
      <c r="AZ43" s="33"/>
      <c r="BA43" s="53"/>
      <c r="BB43" s="22"/>
      <c r="BC43" s="58"/>
      <c r="BD43" s="4"/>
    </row>
    <row r="44" spans="1:58" ht="31.5" x14ac:dyDescent="0.2">
      <c r="A44" s="48" t="s">
        <v>115</v>
      </c>
      <c r="B44" s="63" t="s">
        <v>116</v>
      </c>
      <c r="C44" s="34" t="s">
        <v>92</v>
      </c>
      <c r="D44" s="50"/>
      <c r="E44" s="33"/>
      <c r="F44" s="34">
        <v>4</v>
      </c>
      <c r="G44" s="50">
        <v>72</v>
      </c>
      <c r="H44" s="33">
        <f t="shared" si="22"/>
        <v>72</v>
      </c>
      <c r="I44" s="33">
        <f t="shared" si="23"/>
        <v>36</v>
      </c>
      <c r="J44" s="33">
        <f t="shared" si="24"/>
        <v>30</v>
      </c>
      <c r="K44" s="33"/>
      <c r="L44" s="33">
        <f t="shared" si="25"/>
        <v>2</v>
      </c>
      <c r="M44" s="34">
        <f t="shared" si="26"/>
        <v>4</v>
      </c>
      <c r="N44" s="50">
        <v>36</v>
      </c>
      <c r="O44" s="34">
        <f t="shared" si="27"/>
        <v>36</v>
      </c>
      <c r="P44" s="50"/>
      <c r="Q44" s="33"/>
      <c r="R44" s="33"/>
      <c r="S44" s="33"/>
      <c r="T44" s="33"/>
      <c r="U44" s="33"/>
      <c r="V44" s="33"/>
      <c r="W44" s="52"/>
      <c r="X44" s="50"/>
      <c r="Y44" s="33"/>
      <c r="Z44" s="33"/>
      <c r="AA44" s="33"/>
      <c r="AB44" s="33"/>
      <c r="AC44" s="33">
        <v>72</v>
      </c>
      <c r="AD44" s="33">
        <v>30</v>
      </c>
      <c r="AE44" s="33"/>
      <c r="AF44" s="33">
        <v>2</v>
      </c>
      <c r="AG44" s="52">
        <v>4</v>
      </c>
      <c r="AH44" s="50"/>
      <c r="AI44" s="33"/>
      <c r="AJ44" s="33"/>
      <c r="AK44" s="33"/>
      <c r="AL44" s="33"/>
      <c r="AM44" s="33"/>
      <c r="AN44" s="33"/>
      <c r="AO44" s="33"/>
      <c r="AP44" s="33"/>
      <c r="AQ44" s="52"/>
      <c r="AR44" s="50"/>
      <c r="AS44" s="33"/>
      <c r="AT44" s="33"/>
      <c r="AU44" s="33"/>
      <c r="AV44" s="33"/>
      <c r="AW44" s="33"/>
      <c r="AX44" s="33"/>
      <c r="AY44" s="33"/>
      <c r="AZ44" s="33"/>
      <c r="BA44" s="53"/>
      <c r="BB44" s="22"/>
      <c r="BC44" s="58"/>
      <c r="BD44" s="4"/>
    </row>
    <row r="45" spans="1:58" ht="15.75" x14ac:dyDescent="0.2">
      <c r="A45" s="48" t="s">
        <v>117</v>
      </c>
      <c r="B45" s="63" t="s">
        <v>118</v>
      </c>
      <c r="C45" s="34" t="s">
        <v>52</v>
      </c>
      <c r="D45" s="50"/>
      <c r="E45" s="33">
        <v>6</v>
      </c>
      <c r="F45" s="34"/>
      <c r="G45" s="50">
        <v>94</v>
      </c>
      <c r="H45" s="33">
        <f t="shared" si="22"/>
        <v>94</v>
      </c>
      <c r="I45" s="33">
        <f t="shared" si="23"/>
        <v>46</v>
      </c>
      <c r="J45" s="33">
        <f t="shared" si="24"/>
        <v>42</v>
      </c>
      <c r="K45" s="33"/>
      <c r="L45" s="33">
        <f t="shared" si="25"/>
        <v>4</v>
      </c>
      <c r="M45" s="34">
        <f t="shared" si="26"/>
        <v>2</v>
      </c>
      <c r="N45" s="50">
        <v>70</v>
      </c>
      <c r="O45" s="34">
        <f t="shared" si="27"/>
        <v>24</v>
      </c>
      <c r="P45" s="50"/>
      <c r="Q45" s="33"/>
      <c r="R45" s="33"/>
      <c r="S45" s="33"/>
      <c r="T45" s="33"/>
      <c r="U45" s="33"/>
      <c r="V45" s="33"/>
      <c r="W45" s="52"/>
      <c r="X45" s="50"/>
      <c r="Y45" s="33"/>
      <c r="Z45" s="33"/>
      <c r="AA45" s="33"/>
      <c r="AB45" s="33"/>
      <c r="AC45" s="33"/>
      <c r="AD45" s="33"/>
      <c r="AE45" s="33"/>
      <c r="AF45" s="33"/>
      <c r="AG45" s="52"/>
      <c r="AH45" s="50">
        <v>46</v>
      </c>
      <c r="AI45" s="33">
        <v>20</v>
      </c>
      <c r="AJ45" s="33"/>
      <c r="AK45" s="33">
        <v>2</v>
      </c>
      <c r="AL45" s="33"/>
      <c r="AM45" s="33">
        <v>48</v>
      </c>
      <c r="AN45" s="33">
        <v>22</v>
      </c>
      <c r="AO45" s="33"/>
      <c r="AP45" s="33">
        <v>2</v>
      </c>
      <c r="AQ45" s="52">
        <v>2</v>
      </c>
      <c r="AR45" s="50"/>
      <c r="AS45" s="33"/>
      <c r="AT45" s="33"/>
      <c r="AU45" s="33"/>
      <c r="AV45" s="33"/>
      <c r="AW45" s="33"/>
      <c r="AX45" s="33"/>
      <c r="AY45" s="33"/>
      <c r="AZ45" s="33"/>
      <c r="BA45" s="53"/>
      <c r="BB45" s="22"/>
      <c r="BC45" s="58"/>
      <c r="BD45" s="4"/>
    </row>
    <row r="46" spans="1:58" ht="15.75" x14ac:dyDescent="0.2">
      <c r="A46" s="48" t="s">
        <v>119</v>
      </c>
      <c r="B46" s="63" t="s">
        <v>421</v>
      </c>
      <c r="C46" s="34" t="s">
        <v>52</v>
      </c>
      <c r="D46" s="70"/>
      <c r="E46" s="71">
        <v>6</v>
      </c>
      <c r="F46" s="72"/>
      <c r="G46" s="50">
        <v>58</v>
      </c>
      <c r="H46" s="33">
        <f t="shared" si="22"/>
        <v>58</v>
      </c>
      <c r="I46" s="33">
        <f t="shared" si="23"/>
        <v>40</v>
      </c>
      <c r="J46" s="33">
        <f t="shared" si="24"/>
        <v>14</v>
      </c>
      <c r="K46" s="73"/>
      <c r="L46" s="33">
        <f t="shared" si="25"/>
        <v>2</v>
      </c>
      <c r="M46" s="34">
        <f t="shared" si="26"/>
        <v>2</v>
      </c>
      <c r="N46" s="50">
        <v>38</v>
      </c>
      <c r="O46" s="34">
        <f t="shared" si="27"/>
        <v>20</v>
      </c>
      <c r="P46" s="70"/>
      <c r="Q46" s="74"/>
      <c r="R46" s="74"/>
      <c r="S46" s="74"/>
      <c r="T46" s="74"/>
      <c r="U46" s="74"/>
      <c r="V46" s="74"/>
      <c r="W46" s="75"/>
      <c r="X46" s="76"/>
      <c r="Y46" s="71"/>
      <c r="Z46" s="71"/>
      <c r="AA46" s="71"/>
      <c r="AB46" s="71"/>
      <c r="AC46" s="71"/>
      <c r="AD46" s="71"/>
      <c r="AE46" s="71"/>
      <c r="AF46" s="71"/>
      <c r="AG46" s="77"/>
      <c r="AH46" s="78"/>
      <c r="AI46" s="71"/>
      <c r="AJ46" s="71"/>
      <c r="AK46" s="71"/>
      <c r="AL46" s="71"/>
      <c r="AM46" s="71">
        <v>58</v>
      </c>
      <c r="AN46" s="71">
        <v>14</v>
      </c>
      <c r="AO46" s="71"/>
      <c r="AP46" s="71">
        <v>2</v>
      </c>
      <c r="AQ46" s="77">
        <v>2</v>
      </c>
      <c r="AR46" s="78"/>
      <c r="AS46" s="71"/>
      <c r="AT46" s="71"/>
      <c r="AU46" s="71"/>
      <c r="AV46" s="71"/>
      <c r="AW46" s="71"/>
      <c r="AX46" s="71"/>
      <c r="AY46" s="71"/>
      <c r="AZ46" s="71"/>
      <c r="BA46" s="79"/>
      <c r="BB46" s="68"/>
      <c r="BC46" s="58"/>
      <c r="BD46" s="4"/>
    </row>
    <row r="47" spans="1:58" ht="15.75" x14ac:dyDescent="0.2">
      <c r="A47" s="48" t="s">
        <v>120</v>
      </c>
      <c r="B47" s="63" t="s">
        <v>121</v>
      </c>
      <c r="C47" s="34" t="s">
        <v>52</v>
      </c>
      <c r="D47" s="80"/>
      <c r="E47" s="71">
        <v>4</v>
      </c>
      <c r="F47" s="75"/>
      <c r="G47" s="81">
        <v>48</v>
      </c>
      <c r="H47" s="33">
        <f t="shared" si="22"/>
        <v>48</v>
      </c>
      <c r="I47" s="33">
        <f t="shared" si="23"/>
        <v>44</v>
      </c>
      <c r="J47" s="33">
        <f t="shared" si="24"/>
        <v>0</v>
      </c>
      <c r="K47" s="73"/>
      <c r="L47" s="33">
        <f t="shared" si="25"/>
        <v>2</v>
      </c>
      <c r="M47" s="34">
        <f t="shared" si="26"/>
        <v>2</v>
      </c>
      <c r="N47" s="50">
        <v>0</v>
      </c>
      <c r="O47" s="34">
        <f t="shared" si="27"/>
        <v>48</v>
      </c>
      <c r="P47" s="80"/>
      <c r="Q47" s="74"/>
      <c r="R47" s="74"/>
      <c r="S47" s="74"/>
      <c r="T47" s="74"/>
      <c r="U47" s="74"/>
      <c r="V47" s="74"/>
      <c r="W47" s="75"/>
      <c r="X47" s="82"/>
      <c r="Y47" s="71"/>
      <c r="Z47" s="71"/>
      <c r="AA47" s="71"/>
      <c r="AB47" s="71"/>
      <c r="AC47" s="71">
        <v>48</v>
      </c>
      <c r="AD47" s="71"/>
      <c r="AE47" s="71"/>
      <c r="AF47" s="71">
        <v>2</v>
      </c>
      <c r="AG47" s="77">
        <v>2</v>
      </c>
      <c r="AH47" s="83"/>
      <c r="AI47" s="71"/>
      <c r="AJ47" s="71"/>
      <c r="AK47" s="71"/>
      <c r="AL47" s="71"/>
      <c r="AM47" s="71"/>
      <c r="AN47" s="71"/>
      <c r="AO47" s="71"/>
      <c r="AP47" s="71"/>
      <c r="AQ47" s="77"/>
      <c r="AR47" s="83"/>
      <c r="AS47" s="71"/>
      <c r="AT47" s="71"/>
      <c r="AU47" s="71"/>
      <c r="AV47" s="71"/>
      <c r="AW47" s="71"/>
      <c r="AX47" s="71"/>
      <c r="AY47" s="71"/>
      <c r="AZ47" s="71"/>
      <c r="BA47" s="79"/>
      <c r="BB47" s="68"/>
      <c r="BC47" s="58"/>
      <c r="BD47" s="4"/>
    </row>
    <row r="48" spans="1:58" ht="15.75" x14ac:dyDescent="0.2">
      <c r="A48" s="48" t="s">
        <v>122</v>
      </c>
      <c r="B48" s="49" t="s">
        <v>123</v>
      </c>
      <c r="C48" s="34" t="s">
        <v>52</v>
      </c>
      <c r="D48" s="80"/>
      <c r="E48" s="71">
        <v>5</v>
      </c>
      <c r="F48" s="75"/>
      <c r="G48" s="81">
        <v>80</v>
      </c>
      <c r="H48" s="33">
        <f t="shared" si="22"/>
        <v>80</v>
      </c>
      <c r="I48" s="33">
        <f t="shared" si="23"/>
        <v>32</v>
      </c>
      <c r="J48" s="33">
        <f t="shared" si="24"/>
        <v>20</v>
      </c>
      <c r="K48" s="73">
        <v>24</v>
      </c>
      <c r="L48" s="33">
        <f t="shared" si="25"/>
        <v>2</v>
      </c>
      <c r="M48" s="34">
        <f t="shared" si="26"/>
        <v>2</v>
      </c>
      <c r="N48" s="50">
        <v>0</v>
      </c>
      <c r="O48" s="34">
        <f t="shared" si="27"/>
        <v>80</v>
      </c>
      <c r="P48" s="80"/>
      <c r="Q48" s="74"/>
      <c r="R48" s="74"/>
      <c r="S48" s="74"/>
      <c r="T48" s="74"/>
      <c r="U48" s="74"/>
      <c r="V48" s="74"/>
      <c r="W48" s="75"/>
      <c r="X48" s="82"/>
      <c r="Y48" s="71"/>
      <c r="Z48" s="71"/>
      <c r="AA48" s="71"/>
      <c r="AB48" s="71"/>
      <c r="AC48" s="71"/>
      <c r="AD48" s="71"/>
      <c r="AE48" s="71"/>
      <c r="AF48" s="71"/>
      <c r="AG48" s="77"/>
      <c r="AH48" s="83">
        <v>80</v>
      </c>
      <c r="AI48" s="71">
        <v>20</v>
      </c>
      <c r="AJ48" s="71"/>
      <c r="AK48" s="71">
        <v>2</v>
      </c>
      <c r="AL48" s="71">
        <v>2</v>
      </c>
      <c r="AM48" s="71"/>
      <c r="AN48" s="71"/>
      <c r="AO48" s="71"/>
      <c r="AP48" s="71"/>
      <c r="AQ48" s="77"/>
      <c r="AR48" s="83"/>
      <c r="AS48" s="71"/>
      <c r="AT48" s="71"/>
      <c r="AU48" s="71"/>
      <c r="AV48" s="71"/>
      <c r="AW48" s="71"/>
      <c r="AX48" s="71"/>
      <c r="AY48" s="71"/>
      <c r="AZ48" s="71"/>
      <c r="BA48" s="79"/>
      <c r="BB48" s="68"/>
      <c r="BC48" s="58"/>
      <c r="BD48" s="4"/>
    </row>
    <row r="49" spans="1:58" s="96" customFormat="1" ht="24.75" customHeight="1" x14ac:dyDescent="0.25">
      <c r="A49" s="84"/>
      <c r="B49" s="85" t="s">
        <v>124</v>
      </c>
      <c r="C49" s="44" t="str">
        <f>CONCATENATE(D49,"/",E49,"/",F49)</f>
        <v>7/18/6</v>
      </c>
      <c r="D49" s="86">
        <f t="shared" ref="D49:AI49" si="28">D23+D33</f>
        <v>7</v>
      </c>
      <c r="E49" s="87">
        <f t="shared" si="28"/>
        <v>18</v>
      </c>
      <c r="F49" s="88">
        <f t="shared" si="28"/>
        <v>6</v>
      </c>
      <c r="G49" s="86">
        <f t="shared" si="28"/>
        <v>1816</v>
      </c>
      <c r="H49" s="87">
        <f t="shared" si="28"/>
        <v>1816</v>
      </c>
      <c r="I49" s="87">
        <f t="shared" si="28"/>
        <v>716</v>
      </c>
      <c r="J49" s="87">
        <f t="shared" si="28"/>
        <v>930</v>
      </c>
      <c r="K49" s="87">
        <f t="shared" si="28"/>
        <v>24</v>
      </c>
      <c r="L49" s="87">
        <f t="shared" si="28"/>
        <v>72</v>
      </c>
      <c r="M49" s="88">
        <f t="shared" si="28"/>
        <v>74</v>
      </c>
      <c r="N49" s="89">
        <f t="shared" si="28"/>
        <v>1200</v>
      </c>
      <c r="O49" s="90">
        <f t="shared" si="28"/>
        <v>616</v>
      </c>
      <c r="P49" s="86">
        <f t="shared" si="28"/>
        <v>0</v>
      </c>
      <c r="Q49" s="87">
        <f t="shared" si="28"/>
        <v>0</v>
      </c>
      <c r="R49" s="87">
        <f t="shared" si="28"/>
        <v>0</v>
      </c>
      <c r="S49" s="87">
        <f t="shared" si="28"/>
        <v>0</v>
      </c>
      <c r="T49" s="87">
        <f t="shared" si="28"/>
        <v>0</v>
      </c>
      <c r="U49" s="87">
        <f t="shared" si="28"/>
        <v>0</v>
      </c>
      <c r="V49" s="87">
        <f t="shared" si="28"/>
        <v>0</v>
      </c>
      <c r="W49" s="90">
        <f t="shared" si="28"/>
        <v>0</v>
      </c>
      <c r="X49" s="86">
        <f t="shared" si="28"/>
        <v>612</v>
      </c>
      <c r="Y49" s="87">
        <f t="shared" si="28"/>
        <v>292</v>
      </c>
      <c r="Z49" s="87">
        <f t="shared" si="28"/>
        <v>0</v>
      </c>
      <c r="AA49" s="87">
        <f t="shared" si="28"/>
        <v>24</v>
      </c>
      <c r="AB49" s="87">
        <f t="shared" si="28"/>
        <v>14</v>
      </c>
      <c r="AC49" s="87">
        <f t="shared" si="28"/>
        <v>634</v>
      </c>
      <c r="AD49" s="87">
        <f t="shared" si="28"/>
        <v>312</v>
      </c>
      <c r="AE49" s="87">
        <f t="shared" si="28"/>
        <v>0</v>
      </c>
      <c r="AF49" s="87">
        <f t="shared" si="28"/>
        <v>28</v>
      </c>
      <c r="AG49" s="90">
        <f t="shared" si="28"/>
        <v>38</v>
      </c>
      <c r="AH49" s="86">
        <f t="shared" si="28"/>
        <v>272</v>
      </c>
      <c r="AI49" s="87">
        <f t="shared" si="28"/>
        <v>176</v>
      </c>
      <c r="AJ49" s="87">
        <f t="shared" ref="AJ49:BA49" si="29">AJ23+AJ33</f>
        <v>0</v>
      </c>
      <c r="AK49" s="87">
        <f t="shared" si="29"/>
        <v>8</v>
      </c>
      <c r="AL49" s="87">
        <f t="shared" si="29"/>
        <v>4</v>
      </c>
      <c r="AM49" s="87">
        <f t="shared" si="29"/>
        <v>298</v>
      </c>
      <c r="AN49" s="87">
        <f t="shared" si="29"/>
        <v>150</v>
      </c>
      <c r="AO49" s="87">
        <f t="shared" si="29"/>
        <v>0</v>
      </c>
      <c r="AP49" s="87">
        <f t="shared" si="29"/>
        <v>12</v>
      </c>
      <c r="AQ49" s="91">
        <f t="shared" si="29"/>
        <v>18</v>
      </c>
      <c r="AR49" s="86">
        <f t="shared" si="29"/>
        <v>0</v>
      </c>
      <c r="AS49" s="87">
        <f t="shared" si="29"/>
        <v>0</v>
      </c>
      <c r="AT49" s="87">
        <f t="shared" si="29"/>
        <v>0</v>
      </c>
      <c r="AU49" s="87">
        <f t="shared" si="29"/>
        <v>0</v>
      </c>
      <c r="AV49" s="87">
        <f t="shared" si="29"/>
        <v>0</v>
      </c>
      <c r="AW49" s="87">
        <f t="shared" si="29"/>
        <v>0</v>
      </c>
      <c r="AX49" s="87">
        <f t="shared" si="29"/>
        <v>0</v>
      </c>
      <c r="AY49" s="87">
        <f t="shared" si="29"/>
        <v>0</v>
      </c>
      <c r="AZ49" s="87">
        <f t="shared" si="29"/>
        <v>0</v>
      </c>
      <c r="BA49" s="90">
        <f t="shared" si="29"/>
        <v>0</v>
      </c>
      <c r="BB49" s="92"/>
      <c r="BC49" s="93"/>
      <c r="BD49" s="94"/>
      <c r="BE49" s="95"/>
    </row>
    <row r="50" spans="1:58" ht="32.25" customHeight="1" x14ac:dyDescent="0.2">
      <c r="A50" s="42" t="s">
        <v>125</v>
      </c>
      <c r="B50" s="97" t="s">
        <v>126</v>
      </c>
      <c r="C50" s="44" t="str">
        <f>CONCATENATE(D50,"/",E50,"/",F50)</f>
        <v>0/3/1</v>
      </c>
      <c r="D50" s="42">
        <v>0</v>
      </c>
      <c r="E50" s="43">
        <v>3</v>
      </c>
      <c r="F50" s="45">
        <v>1</v>
      </c>
      <c r="G50" s="98">
        <f t="shared" ref="G50:BA50" si="30">SUM(G51:G56)</f>
        <v>1044</v>
      </c>
      <c r="H50" s="55">
        <f t="shared" si="30"/>
        <v>1044</v>
      </c>
      <c r="I50" s="55">
        <f t="shared" si="30"/>
        <v>336</v>
      </c>
      <c r="J50" s="55">
        <f t="shared" si="30"/>
        <v>284</v>
      </c>
      <c r="K50" s="55">
        <f t="shared" si="30"/>
        <v>0</v>
      </c>
      <c r="L50" s="55">
        <f t="shared" si="30"/>
        <v>8</v>
      </c>
      <c r="M50" s="55">
        <f t="shared" si="30"/>
        <v>20</v>
      </c>
      <c r="N50" s="54">
        <f t="shared" si="30"/>
        <v>780</v>
      </c>
      <c r="O50" s="56">
        <f t="shared" si="30"/>
        <v>264</v>
      </c>
      <c r="P50" s="54">
        <f t="shared" si="30"/>
        <v>0</v>
      </c>
      <c r="Q50" s="55">
        <f t="shared" si="30"/>
        <v>0</v>
      </c>
      <c r="R50" s="55">
        <f t="shared" si="30"/>
        <v>0</v>
      </c>
      <c r="S50" s="55">
        <f t="shared" si="30"/>
        <v>0</v>
      </c>
      <c r="T50" s="55">
        <f t="shared" si="30"/>
        <v>0</v>
      </c>
      <c r="U50" s="55">
        <f t="shared" si="30"/>
        <v>0</v>
      </c>
      <c r="V50" s="55">
        <f t="shared" si="30"/>
        <v>0</v>
      </c>
      <c r="W50" s="55">
        <f t="shared" si="30"/>
        <v>0</v>
      </c>
      <c r="X50" s="54">
        <f t="shared" si="30"/>
        <v>0</v>
      </c>
      <c r="Y50" s="55">
        <f t="shared" si="30"/>
        <v>0</v>
      </c>
      <c r="Z50" s="55">
        <f t="shared" si="30"/>
        <v>0</v>
      </c>
      <c r="AA50" s="55">
        <f t="shared" si="30"/>
        <v>0</v>
      </c>
      <c r="AB50" s="55">
        <f t="shared" si="30"/>
        <v>0</v>
      </c>
      <c r="AC50" s="55">
        <f t="shared" si="30"/>
        <v>248</v>
      </c>
      <c r="AD50" s="55">
        <f t="shared" si="30"/>
        <v>92</v>
      </c>
      <c r="AE50" s="55">
        <f t="shared" si="30"/>
        <v>0</v>
      </c>
      <c r="AF50" s="55">
        <f t="shared" si="30"/>
        <v>2</v>
      </c>
      <c r="AG50" s="55">
        <f t="shared" si="30"/>
        <v>4</v>
      </c>
      <c r="AH50" s="54">
        <f t="shared" si="30"/>
        <v>294</v>
      </c>
      <c r="AI50" s="55">
        <f t="shared" si="30"/>
        <v>142</v>
      </c>
      <c r="AJ50" s="55">
        <f t="shared" si="30"/>
        <v>0</v>
      </c>
      <c r="AK50" s="55">
        <f t="shared" si="30"/>
        <v>4</v>
      </c>
      <c r="AL50" s="55">
        <f t="shared" si="30"/>
        <v>6</v>
      </c>
      <c r="AM50" s="55">
        <f t="shared" si="30"/>
        <v>100</v>
      </c>
      <c r="AN50" s="55">
        <f t="shared" si="30"/>
        <v>50</v>
      </c>
      <c r="AO50" s="55">
        <f t="shared" si="30"/>
        <v>0</v>
      </c>
      <c r="AP50" s="55">
        <f t="shared" si="30"/>
        <v>2</v>
      </c>
      <c r="AQ50" s="67">
        <f t="shared" si="30"/>
        <v>4</v>
      </c>
      <c r="AR50" s="54">
        <f t="shared" si="30"/>
        <v>402</v>
      </c>
      <c r="AS50" s="55">
        <f t="shared" si="30"/>
        <v>0</v>
      </c>
      <c r="AT50" s="55">
        <f t="shared" si="30"/>
        <v>0</v>
      </c>
      <c r="AU50" s="55">
        <f t="shared" si="30"/>
        <v>0</v>
      </c>
      <c r="AV50" s="55">
        <f t="shared" si="30"/>
        <v>6</v>
      </c>
      <c r="AW50" s="55">
        <f t="shared" si="30"/>
        <v>0</v>
      </c>
      <c r="AX50" s="55">
        <f t="shared" si="30"/>
        <v>0</v>
      </c>
      <c r="AY50" s="55">
        <f t="shared" si="30"/>
        <v>0</v>
      </c>
      <c r="AZ50" s="55">
        <f t="shared" si="30"/>
        <v>0</v>
      </c>
      <c r="BA50" s="56">
        <f t="shared" si="30"/>
        <v>0</v>
      </c>
      <c r="BB50" s="68"/>
      <c r="BC50" s="58"/>
      <c r="BD50" s="4"/>
      <c r="BF50" s="69" t="s">
        <v>127</v>
      </c>
    </row>
    <row r="51" spans="1:58" ht="47.25" x14ac:dyDescent="0.2">
      <c r="A51" s="48" t="s">
        <v>128</v>
      </c>
      <c r="B51" s="63" t="s">
        <v>129</v>
      </c>
      <c r="C51" s="99" t="s">
        <v>92</v>
      </c>
      <c r="D51" s="78"/>
      <c r="E51" s="71"/>
      <c r="F51" s="100">
        <v>4</v>
      </c>
      <c r="G51" s="50">
        <v>248</v>
      </c>
      <c r="H51" s="33">
        <f t="shared" ref="H51:H56" si="31">X51+AC51+AH51+AM51+AR51+AW51</f>
        <v>248</v>
      </c>
      <c r="I51" s="33">
        <f>H51-J51-K51-L51-M51</f>
        <v>150</v>
      </c>
      <c r="J51" s="33">
        <f t="shared" ref="J51:L53" si="32">Y51+AD51+AI51+AN51+AS51+AX51</f>
        <v>92</v>
      </c>
      <c r="K51" s="73">
        <f t="shared" si="32"/>
        <v>0</v>
      </c>
      <c r="L51" s="33">
        <f t="shared" si="32"/>
        <v>2</v>
      </c>
      <c r="M51" s="34">
        <f>S51+W51+AB51+AG51+AL51+AQ51+AV51+BA51</f>
        <v>4</v>
      </c>
      <c r="N51" s="50">
        <v>124</v>
      </c>
      <c r="O51" s="34">
        <f t="shared" ref="O51:O56" si="33">G51-N51</f>
        <v>124</v>
      </c>
      <c r="P51" s="78"/>
      <c r="Q51" s="71"/>
      <c r="R51" s="101"/>
      <c r="S51" s="101"/>
      <c r="T51" s="102"/>
      <c r="U51" s="102"/>
      <c r="V51" s="102"/>
      <c r="W51" s="103"/>
      <c r="X51" s="104"/>
      <c r="Y51" s="105"/>
      <c r="Z51" s="105"/>
      <c r="AA51" s="105"/>
      <c r="AB51" s="105"/>
      <c r="AC51" s="105">
        <v>248</v>
      </c>
      <c r="AD51" s="105">
        <v>92</v>
      </c>
      <c r="AE51" s="105"/>
      <c r="AF51" s="105">
        <v>2</v>
      </c>
      <c r="AG51" s="106">
        <v>4</v>
      </c>
      <c r="AH51" s="104"/>
      <c r="AI51" s="105"/>
      <c r="AJ51" s="105"/>
      <c r="AK51" s="105"/>
      <c r="AL51" s="105"/>
      <c r="AM51" s="105"/>
      <c r="AN51" s="105"/>
      <c r="AO51" s="105"/>
      <c r="AP51" s="105"/>
      <c r="AQ51" s="106"/>
      <c r="AR51" s="76"/>
      <c r="AS51" s="101"/>
      <c r="AT51" s="101"/>
      <c r="AU51" s="101"/>
      <c r="AV51" s="101"/>
      <c r="AW51" s="101"/>
      <c r="AX51" s="101"/>
      <c r="AY51" s="101"/>
      <c r="AZ51" s="101"/>
      <c r="BA51" s="107"/>
      <c r="BB51" s="68"/>
      <c r="BC51" s="58"/>
      <c r="BD51" s="4"/>
    </row>
    <row r="52" spans="1:58" ht="31.5" x14ac:dyDescent="0.2">
      <c r="A52" s="48" t="s">
        <v>130</v>
      </c>
      <c r="B52" s="63" t="s">
        <v>131</v>
      </c>
      <c r="C52" s="99" t="s">
        <v>92</v>
      </c>
      <c r="D52" s="78"/>
      <c r="E52" s="71"/>
      <c r="F52" s="100">
        <v>5</v>
      </c>
      <c r="G52" s="50">
        <v>194</v>
      </c>
      <c r="H52" s="33">
        <f t="shared" si="31"/>
        <v>194</v>
      </c>
      <c r="I52" s="33">
        <f>H52-J52-K52-L52-M52</f>
        <v>96</v>
      </c>
      <c r="J52" s="33">
        <f t="shared" si="32"/>
        <v>92</v>
      </c>
      <c r="K52" s="73">
        <f t="shared" si="32"/>
        <v>0</v>
      </c>
      <c r="L52" s="33">
        <f t="shared" si="32"/>
        <v>2</v>
      </c>
      <c r="M52" s="34">
        <f>S52+W52+AB52+AG52+AL52+AQ52+AV52+BA52</f>
        <v>4</v>
      </c>
      <c r="N52" s="50">
        <v>128</v>
      </c>
      <c r="O52" s="34">
        <f t="shared" si="33"/>
        <v>66</v>
      </c>
      <c r="P52" s="108"/>
      <c r="Q52" s="109"/>
      <c r="R52" s="109"/>
      <c r="S52" s="109"/>
      <c r="T52" s="109"/>
      <c r="U52" s="109"/>
      <c r="V52" s="109"/>
      <c r="W52" s="110"/>
      <c r="X52" s="108"/>
      <c r="Y52" s="109"/>
      <c r="Z52" s="109"/>
      <c r="AA52" s="109"/>
      <c r="AB52" s="109"/>
      <c r="AC52" s="111"/>
      <c r="AD52" s="109"/>
      <c r="AE52" s="109"/>
      <c r="AF52" s="109"/>
      <c r="AG52" s="110"/>
      <c r="AH52" s="108">
        <v>194</v>
      </c>
      <c r="AI52" s="109">
        <v>92</v>
      </c>
      <c r="AJ52" s="109"/>
      <c r="AK52" s="109">
        <v>2</v>
      </c>
      <c r="AL52" s="109">
        <v>4</v>
      </c>
      <c r="AM52" s="71"/>
      <c r="AN52" s="71"/>
      <c r="AO52" s="71"/>
      <c r="AP52" s="71"/>
      <c r="AQ52" s="77"/>
      <c r="AR52" s="78"/>
      <c r="AS52" s="71"/>
      <c r="AT52" s="71"/>
      <c r="AU52" s="71"/>
      <c r="AV52" s="71"/>
      <c r="AW52" s="71"/>
      <c r="AX52" s="71"/>
      <c r="AY52" s="71"/>
      <c r="AZ52" s="71"/>
      <c r="BA52" s="79"/>
      <c r="BB52" s="68"/>
      <c r="BC52" s="58"/>
      <c r="BD52" s="4"/>
    </row>
    <row r="53" spans="1:58" ht="31.5" x14ac:dyDescent="0.2">
      <c r="A53" s="48" t="s">
        <v>132</v>
      </c>
      <c r="B53" s="63" t="s">
        <v>133</v>
      </c>
      <c r="C53" s="99" t="s">
        <v>423</v>
      </c>
      <c r="D53" s="78"/>
      <c r="E53" s="71">
        <v>5</v>
      </c>
      <c r="F53" s="100">
        <v>6</v>
      </c>
      <c r="G53" s="50">
        <v>200</v>
      </c>
      <c r="H53" s="33">
        <f t="shared" si="31"/>
        <v>200</v>
      </c>
      <c r="I53" s="33">
        <f>H53-J53-K53-L53-M53</f>
        <v>90</v>
      </c>
      <c r="J53" s="33">
        <f t="shared" si="32"/>
        <v>100</v>
      </c>
      <c r="K53" s="73">
        <v>0</v>
      </c>
      <c r="L53" s="33">
        <f t="shared" si="32"/>
        <v>4</v>
      </c>
      <c r="M53" s="34">
        <f>S53+W53+AB53+AG53+AL53+AQ53+AV53+BA53</f>
        <v>6</v>
      </c>
      <c r="N53" s="50">
        <v>132</v>
      </c>
      <c r="O53" s="34">
        <f t="shared" si="33"/>
        <v>68</v>
      </c>
      <c r="P53" s="108"/>
      <c r="Q53" s="109"/>
      <c r="R53" s="109"/>
      <c r="S53" s="109"/>
      <c r="T53" s="109"/>
      <c r="U53" s="109"/>
      <c r="V53" s="109"/>
      <c r="W53" s="110"/>
      <c r="X53" s="108"/>
      <c r="Y53" s="109"/>
      <c r="Z53" s="109"/>
      <c r="AA53" s="109"/>
      <c r="AB53" s="109"/>
      <c r="AC53" s="111"/>
      <c r="AD53" s="109"/>
      <c r="AE53" s="109"/>
      <c r="AF53" s="109"/>
      <c r="AG53" s="110"/>
      <c r="AH53" s="108">
        <v>100</v>
      </c>
      <c r="AI53" s="109">
        <v>50</v>
      </c>
      <c r="AJ53" s="109"/>
      <c r="AK53" s="109">
        <v>2</v>
      </c>
      <c r="AL53" s="109">
        <v>2</v>
      </c>
      <c r="AM53" s="109">
        <v>100</v>
      </c>
      <c r="AN53" s="109">
        <v>50</v>
      </c>
      <c r="AO53" s="109"/>
      <c r="AP53" s="109">
        <v>2</v>
      </c>
      <c r="AQ53" s="110">
        <v>4</v>
      </c>
      <c r="AR53" s="78"/>
      <c r="AS53" s="71"/>
      <c r="AT53" s="71"/>
      <c r="AU53" s="71"/>
      <c r="AV53" s="71"/>
      <c r="AW53" s="71"/>
      <c r="AX53" s="71"/>
      <c r="AY53" s="71"/>
      <c r="AZ53" s="71"/>
      <c r="BA53" s="79"/>
      <c r="BB53" s="68"/>
      <c r="BC53" s="58"/>
      <c r="BD53" s="4"/>
    </row>
    <row r="54" spans="1:58" ht="16.5" customHeight="1" x14ac:dyDescent="0.2">
      <c r="A54" s="112" t="s">
        <v>134</v>
      </c>
      <c r="B54" s="113" t="s">
        <v>413</v>
      </c>
      <c r="C54" s="114"/>
      <c r="D54" s="112"/>
      <c r="E54" s="115">
        <v>7</v>
      </c>
      <c r="F54" s="114"/>
      <c r="G54" s="112">
        <v>252</v>
      </c>
      <c r="H54" s="115">
        <f t="shared" si="31"/>
        <v>252</v>
      </c>
      <c r="I54" s="115"/>
      <c r="J54" s="115"/>
      <c r="K54" s="115"/>
      <c r="L54" s="115"/>
      <c r="M54" s="114"/>
      <c r="N54" s="112">
        <v>252</v>
      </c>
      <c r="O54" s="114">
        <f t="shared" si="33"/>
        <v>0</v>
      </c>
      <c r="P54" s="112"/>
      <c r="Q54" s="115"/>
      <c r="R54" s="115"/>
      <c r="S54" s="115"/>
      <c r="T54" s="115"/>
      <c r="U54" s="115"/>
      <c r="V54" s="115"/>
      <c r="W54" s="116"/>
      <c r="X54" s="112"/>
      <c r="Y54" s="115"/>
      <c r="Z54" s="115"/>
      <c r="AA54" s="115"/>
      <c r="AB54" s="115"/>
      <c r="AC54" s="115"/>
      <c r="AD54" s="115"/>
      <c r="AE54" s="115"/>
      <c r="AF54" s="115"/>
      <c r="AG54" s="116"/>
      <c r="AH54" s="112"/>
      <c r="AI54" s="115"/>
      <c r="AJ54" s="115"/>
      <c r="AK54" s="115"/>
      <c r="AL54" s="115"/>
      <c r="AM54" s="115"/>
      <c r="AN54" s="115"/>
      <c r="AO54" s="115"/>
      <c r="AP54" s="115"/>
      <c r="AQ54" s="116"/>
      <c r="AR54" s="112">
        <v>252</v>
      </c>
      <c r="AS54" s="115"/>
      <c r="AT54" s="115"/>
      <c r="AU54" s="115"/>
      <c r="AV54" s="115"/>
      <c r="AW54" s="115"/>
      <c r="AX54" s="115"/>
      <c r="AY54" s="115"/>
      <c r="AZ54" s="115"/>
      <c r="BA54" s="117"/>
      <c r="BB54" s="68"/>
      <c r="BC54" s="58"/>
      <c r="BD54" s="4"/>
    </row>
    <row r="55" spans="1:58" ht="15.75" customHeight="1" x14ac:dyDescent="0.2">
      <c r="A55" s="112" t="s">
        <v>136</v>
      </c>
      <c r="B55" s="113" t="s">
        <v>414</v>
      </c>
      <c r="C55" s="114" t="s">
        <v>412</v>
      </c>
      <c r="D55" s="112"/>
      <c r="E55" s="115">
        <v>7</v>
      </c>
      <c r="F55" s="114"/>
      <c r="G55" s="112">
        <v>144</v>
      </c>
      <c r="H55" s="115">
        <f t="shared" si="31"/>
        <v>144</v>
      </c>
      <c r="I55" s="115"/>
      <c r="J55" s="115"/>
      <c r="K55" s="115"/>
      <c r="L55" s="115"/>
      <c r="M55" s="114"/>
      <c r="N55" s="112">
        <v>144</v>
      </c>
      <c r="O55" s="114">
        <f t="shared" si="33"/>
        <v>0</v>
      </c>
      <c r="P55" s="112"/>
      <c r="Q55" s="115"/>
      <c r="R55" s="115"/>
      <c r="S55" s="115"/>
      <c r="T55" s="115"/>
      <c r="U55" s="115"/>
      <c r="V55" s="115"/>
      <c r="W55" s="116"/>
      <c r="X55" s="112"/>
      <c r="Y55" s="115"/>
      <c r="Z55" s="115"/>
      <c r="AA55" s="115"/>
      <c r="AB55" s="115"/>
      <c r="AC55" s="115"/>
      <c r="AD55" s="115"/>
      <c r="AE55" s="115"/>
      <c r="AF55" s="115"/>
      <c r="AG55" s="116"/>
      <c r="AH55" s="112"/>
      <c r="AI55" s="115"/>
      <c r="AJ55" s="115"/>
      <c r="AK55" s="115"/>
      <c r="AL55" s="115"/>
      <c r="AM55" s="115"/>
      <c r="AN55" s="115"/>
      <c r="AO55" s="115"/>
      <c r="AP55" s="115"/>
      <c r="AQ55" s="116"/>
      <c r="AR55" s="112">
        <v>144</v>
      </c>
      <c r="AS55" s="115"/>
      <c r="AT55" s="115"/>
      <c r="AU55" s="115"/>
      <c r="AV55" s="115"/>
      <c r="AW55" s="115"/>
      <c r="AX55" s="115"/>
      <c r="AY55" s="115"/>
      <c r="AZ55" s="115"/>
      <c r="BA55" s="117"/>
      <c r="BB55" s="68"/>
      <c r="BC55" s="58"/>
      <c r="BD55" s="4"/>
    </row>
    <row r="56" spans="1:58" ht="15.75" customHeight="1" x14ac:dyDescent="0.2">
      <c r="A56" s="112" t="s">
        <v>138</v>
      </c>
      <c r="B56" s="113" t="s">
        <v>428</v>
      </c>
      <c r="C56" s="114" t="s">
        <v>92</v>
      </c>
      <c r="D56" s="112"/>
      <c r="E56" s="115"/>
      <c r="F56" s="114">
        <v>7</v>
      </c>
      <c r="G56" s="112">
        <v>6</v>
      </c>
      <c r="H56" s="115">
        <f t="shared" si="31"/>
        <v>6</v>
      </c>
      <c r="I56" s="115"/>
      <c r="J56" s="115"/>
      <c r="K56" s="115"/>
      <c r="L56" s="115"/>
      <c r="M56" s="114">
        <f>S56+W56+AB56+AG56+AL56+AQ56+AV56+BA56</f>
        <v>6</v>
      </c>
      <c r="N56" s="112">
        <v>0</v>
      </c>
      <c r="O56" s="114">
        <f t="shared" si="33"/>
        <v>6</v>
      </c>
      <c r="P56" s="112"/>
      <c r="Q56" s="115"/>
      <c r="R56" s="115"/>
      <c r="S56" s="115"/>
      <c r="T56" s="115"/>
      <c r="U56" s="115"/>
      <c r="V56" s="115"/>
      <c r="W56" s="116"/>
      <c r="X56" s="112"/>
      <c r="Y56" s="115"/>
      <c r="Z56" s="115"/>
      <c r="AA56" s="115"/>
      <c r="AB56" s="115"/>
      <c r="AC56" s="115"/>
      <c r="AD56" s="115"/>
      <c r="AE56" s="115"/>
      <c r="AF56" s="115"/>
      <c r="AG56" s="116"/>
      <c r="AH56" s="112"/>
      <c r="AI56" s="115"/>
      <c r="AJ56" s="115"/>
      <c r="AK56" s="115"/>
      <c r="AL56" s="115"/>
      <c r="AM56" s="115"/>
      <c r="AN56" s="115"/>
      <c r="AO56" s="115"/>
      <c r="AP56" s="115"/>
      <c r="AQ56" s="116"/>
      <c r="AR56" s="112">
        <v>6</v>
      </c>
      <c r="AS56" s="115"/>
      <c r="AT56" s="115"/>
      <c r="AU56" s="115"/>
      <c r="AV56" s="115">
        <v>6</v>
      </c>
      <c r="AW56" s="115"/>
      <c r="AX56" s="115"/>
      <c r="AY56" s="115"/>
      <c r="AZ56" s="115"/>
      <c r="BA56" s="117"/>
      <c r="BB56" s="68"/>
      <c r="BC56" s="58"/>
      <c r="BD56" s="4"/>
    </row>
    <row r="57" spans="1:58" ht="32.25" customHeight="1" x14ac:dyDescent="0.2">
      <c r="A57" s="42" t="s">
        <v>139</v>
      </c>
      <c r="B57" s="97" t="s">
        <v>140</v>
      </c>
      <c r="C57" s="44" t="str">
        <f>CONCATENATE(D57,"/",E57,"/",F57)</f>
        <v>0/3/4</v>
      </c>
      <c r="D57" s="42">
        <v>0</v>
      </c>
      <c r="E57" s="43">
        <v>3</v>
      </c>
      <c r="F57" s="45">
        <v>4</v>
      </c>
      <c r="G57" s="54">
        <f t="shared" ref="G57:BA57" si="34">SUM(G58:G64)</f>
        <v>894</v>
      </c>
      <c r="H57" s="55">
        <f t="shared" si="34"/>
        <v>894</v>
      </c>
      <c r="I57" s="55">
        <f t="shared" si="34"/>
        <v>318</v>
      </c>
      <c r="J57" s="55">
        <f t="shared" si="34"/>
        <v>228</v>
      </c>
      <c r="K57" s="55">
        <f t="shared" si="34"/>
        <v>24</v>
      </c>
      <c r="L57" s="55">
        <f t="shared" si="34"/>
        <v>12</v>
      </c>
      <c r="M57" s="55">
        <f t="shared" si="34"/>
        <v>24</v>
      </c>
      <c r="N57" s="54">
        <f t="shared" si="34"/>
        <v>520</v>
      </c>
      <c r="O57" s="56">
        <f t="shared" si="34"/>
        <v>374</v>
      </c>
      <c r="P57" s="54">
        <f t="shared" si="34"/>
        <v>0</v>
      </c>
      <c r="Q57" s="55">
        <f t="shared" si="34"/>
        <v>0</v>
      </c>
      <c r="R57" s="55">
        <f t="shared" si="34"/>
        <v>0</v>
      </c>
      <c r="S57" s="55">
        <f t="shared" si="34"/>
        <v>0</v>
      </c>
      <c r="T57" s="55">
        <f t="shared" si="34"/>
        <v>0</v>
      </c>
      <c r="U57" s="55">
        <f t="shared" si="34"/>
        <v>0</v>
      </c>
      <c r="V57" s="55">
        <f t="shared" si="34"/>
        <v>0</v>
      </c>
      <c r="W57" s="55">
        <f t="shared" si="34"/>
        <v>0</v>
      </c>
      <c r="X57" s="54">
        <f t="shared" si="34"/>
        <v>0</v>
      </c>
      <c r="Y57" s="55">
        <f t="shared" si="34"/>
        <v>0</v>
      </c>
      <c r="Z57" s="55">
        <f t="shared" si="34"/>
        <v>0</v>
      </c>
      <c r="AA57" s="55">
        <f t="shared" si="34"/>
        <v>0</v>
      </c>
      <c r="AB57" s="55">
        <f t="shared" si="34"/>
        <v>0</v>
      </c>
      <c r="AC57" s="55">
        <f t="shared" si="34"/>
        <v>0</v>
      </c>
      <c r="AD57" s="55">
        <f t="shared" si="34"/>
        <v>0</v>
      </c>
      <c r="AE57" s="55">
        <f t="shared" si="34"/>
        <v>0</v>
      </c>
      <c r="AF57" s="55">
        <f t="shared" si="34"/>
        <v>0</v>
      </c>
      <c r="AG57" s="55">
        <f t="shared" si="34"/>
        <v>0</v>
      </c>
      <c r="AH57" s="54">
        <f t="shared" si="34"/>
        <v>46</v>
      </c>
      <c r="AI57" s="55">
        <f t="shared" si="34"/>
        <v>10</v>
      </c>
      <c r="AJ57" s="55">
        <f t="shared" si="34"/>
        <v>0</v>
      </c>
      <c r="AK57" s="55">
        <f t="shared" si="34"/>
        <v>0</v>
      </c>
      <c r="AL57" s="55">
        <f t="shared" si="34"/>
        <v>0</v>
      </c>
      <c r="AM57" s="55">
        <f t="shared" si="34"/>
        <v>134</v>
      </c>
      <c r="AN57" s="55">
        <f t="shared" si="34"/>
        <v>50</v>
      </c>
      <c r="AO57" s="55">
        <f t="shared" si="34"/>
        <v>0</v>
      </c>
      <c r="AP57" s="55">
        <f t="shared" si="34"/>
        <v>2</v>
      </c>
      <c r="AQ57" s="67">
        <f t="shared" si="34"/>
        <v>4</v>
      </c>
      <c r="AR57" s="54">
        <f t="shared" si="34"/>
        <v>210</v>
      </c>
      <c r="AS57" s="55">
        <f t="shared" si="34"/>
        <v>76</v>
      </c>
      <c r="AT57" s="55">
        <f t="shared" si="34"/>
        <v>0</v>
      </c>
      <c r="AU57" s="55">
        <f t="shared" si="34"/>
        <v>6</v>
      </c>
      <c r="AV57" s="55">
        <f t="shared" si="34"/>
        <v>6</v>
      </c>
      <c r="AW57" s="55">
        <f t="shared" si="34"/>
        <v>504</v>
      </c>
      <c r="AX57" s="55">
        <f t="shared" si="34"/>
        <v>92</v>
      </c>
      <c r="AY57" s="55">
        <f t="shared" si="34"/>
        <v>0</v>
      </c>
      <c r="AZ57" s="55">
        <f t="shared" si="34"/>
        <v>4</v>
      </c>
      <c r="BA57" s="56">
        <f t="shared" si="34"/>
        <v>14</v>
      </c>
      <c r="BB57" s="68"/>
      <c r="BC57" s="58"/>
      <c r="BD57" s="4"/>
      <c r="BF57" s="69"/>
    </row>
    <row r="58" spans="1:58" ht="31.5" x14ac:dyDescent="0.2">
      <c r="A58" s="48" t="s">
        <v>141</v>
      </c>
      <c r="B58" s="63" t="s">
        <v>142</v>
      </c>
      <c r="C58" s="99" t="s">
        <v>92</v>
      </c>
      <c r="D58" s="78"/>
      <c r="E58" s="71"/>
      <c r="F58" s="100">
        <v>6</v>
      </c>
      <c r="G58" s="50">
        <v>180</v>
      </c>
      <c r="H58" s="33">
        <f t="shared" ref="H58:H64" si="35">X58+AC58+AH58+AM58+AR58+AW58</f>
        <v>180</v>
      </c>
      <c r="I58" s="33">
        <f>H58-J58-K58-L58-M58</f>
        <v>114</v>
      </c>
      <c r="J58" s="33">
        <f t="shared" ref="J58:L61" si="36">Y58+AD58+AI58+AN58+AS58+AX58</f>
        <v>60</v>
      </c>
      <c r="K58" s="73">
        <f t="shared" si="36"/>
        <v>0</v>
      </c>
      <c r="L58" s="33">
        <f t="shared" si="36"/>
        <v>2</v>
      </c>
      <c r="M58" s="34">
        <f>S58+W58+AB58+AG58+AL58+AQ58+AV58+BA58</f>
        <v>4</v>
      </c>
      <c r="N58" s="50">
        <v>60</v>
      </c>
      <c r="O58" s="34">
        <f t="shared" ref="O58:O64" si="37">G58-N58</f>
        <v>120</v>
      </c>
      <c r="P58" s="108"/>
      <c r="Q58" s="109"/>
      <c r="R58" s="109"/>
      <c r="S58" s="109"/>
      <c r="T58" s="109"/>
      <c r="U58" s="109"/>
      <c r="V58" s="109"/>
      <c r="W58" s="110"/>
      <c r="X58" s="108"/>
      <c r="Y58" s="109"/>
      <c r="Z58" s="109"/>
      <c r="AA58" s="109"/>
      <c r="AB58" s="109"/>
      <c r="AC58" s="109"/>
      <c r="AD58" s="109"/>
      <c r="AE58" s="109"/>
      <c r="AF58" s="109"/>
      <c r="AG58" s="110"/>
      <c r="AH58" s="108">
        <v>46</v>
      </c>
      <c r="AI58" s="109">
        <v>10</v>
      </c>
      <c r="AJ58" s="109"/>
      <c r="AK58" s="109"/>
      <c r="AL58" s="109"/>
      <c r="AM58" s="109">
        <v>134</v>
      </c>
      <c r="AN58" s="109">
        <v>50</v>
      </c>
      <c r="AO58" s="109"/>
      <c r="AP58" s="109">
        <v>2</v>
      </c>
      <c r="AQ58" s="110">
        <v>4</v>
      </c>
      <c r="AR58" s="78"/>
      <c r="AS58" s="71"/>
      <c r="AT58" s="71"/>
      <c r="AU58" s="71"/>
      <c r="AV58" s="71"/>
      <c r="AW58" s="71"/>
      <c r="AX58" s="71"/>
      <c r="AY58" s="71"/>
      <c r="AZ58" s="71"/>
      <c r="BA58" s="79"/>
      <c r="BB58" s="68"/>
      <c r="BC58" s="58"/>
      <c r="BD58" s="4"/>
    </row>
    <row r="59" spans="1:58" ht="47.25" x14ac:dyDescent="0.2">
      <c r="A59" s="48" t="s">
        <v>143</v>
      </c>
      <c r="B59" s="63" t="s">
        <v>144</v>
      </c>
      <c r="C59" s="99" t="s">
        <v>52</v>
      </c>
      <c r="D59" s="70"/>
      <c r="E59" s="71">
        <v>6</v>
      </c>
      <c r="F59" s="100"/>
      <c r="G59" s="50">
        <v>42</v>
      </c>
      <c r="H59" s="33">
        <f t="shared" si="35"/>
        <v>42</v>
      </c>
      <c r="I59" s="33">
        <f>H59-J59-K59-L59-M59</f>
        <v>20</v>
      </c>
      <c r="J59" s="33">
        <f t="shared" si="36"/>
        <v>18</v>
      </c>
      <c r="K59" s="73">
        <f t="shared" si="36"/>
        <v>0</v>
      </c>
      <c r="L59" s="33">
        <f t="shared" si="36"/>
        <v>2</v>
      </c>
      <c r="M59" s="34">
        <f>S59+W59+AB59+AG59+AL59+AQ59+AV59+BA59</f>
        <v>2</v>
      </c>
      <c r="N59" s="50">
        <v>36</v>
      </c>
      <c r="O59" s="34">
        <f t="shared" si="37"/>
        <v>6</v>
      </c>
      <c r="P59" s="70"/>
      <c r="Q59" s="74"/>
      <c r="R59" s="74"/>
      <c r="S59" s="74"/>
      <c r="T59" s="74"/>
      <c r="U59" s="74"/>
      <c r="V59" s="74"/>
      <c r="W59" s="75"/>
      <c r="X59" s="76"/>
      <c r="Y59" s="71"/>
      <c r="Z59" s="71"/>
      <c r="AA59" s="71"/>
      <c r="AB59" s="71"/>
      <c r="AC59" s="71"/>
      <c r="AD59" s="71"/>
      <c r="AE59" s="71"/>
      <c r="AF59" s="71"/>
      <c r="AG59" s="77"/>
      <c r="AH59" s="78"/>
      <c r="AI59" s="71"/>
      <c r="AJ59" s="71"/>
      <c r="AK59" s="71"/>
      <c r="AL59" s="71"/>
      <c r="AM59" s="71"/>
      <c r="AN59" s="71"/>
      <c r="AO59" s="71"/>
      <c r="AP59" s="71"/>
      <c r="AQ59" s="77"/>
      <c r="AR59" s="78">
        <v>42</v>
      </c>
      <c r="AS59" s="71">
        <v>18</v>
      </c>
      <c r="AT59" s="71"/>
      <c r="AU59" s="71">
        <v>2</v>
      </c>
      <c r="AV59" s="71">
        <v>2</v>
      </c>
      <c r="AW59" s="71"/>
      <c r="AX59" s="71"/>
      <c r="AY59" s="71"/>
      <c r="AZ59" s="71"/>
      <c r="BA59" s="79"/>
      <c r="BB59" s="68"/>
      <c r="BC59" s="58"/>
      <c r="BD59" s="4"/>
    </row>
    <row r="60" spans="1:58" ht="31.5" x14ac:dyDescent="0.2">
      <c r="A60" s="48" t="s">
        <v>145</v>
      </c>
      <c r="B60" s="63" t="s">
        <v>146</v>
      </c>
      <c r="C60" s="99" t="s">
        <v>423</v>
      </c>
      <c r="D60" s="70"/>
      <c r="E60" s="71">
        <v>7</v>
      </c>
      <c r="F60" s="100">
        <v>8</v>
      </c>
      <c r="G60" s="50">
        <v>184</v>
      </c>
      <c r="H60" s="33">
        <f t="shared" si="35"/>
        <v>184</v>
      </c>
      <c r="I60" s="33">
        <f>H60-J60-K60-L60-M60</f>
        <v>70</v>
      </c>
      <c r="J60" s="33">
        <f t="shared" si="36"/>
        <v>80</v>
      </c>
      <c r="K60" s="73">
        <v>24</v>
      </c>
      <c r="L60" s="33">
        <f t="shared" si="36"/>
        <v>4</v>
      </c>
      <c r="M60" s="34">
        <f>S60+W60+AB60+AG60+AL60+AQ60+AV60+BA60</f>
        <v>6</v>
      </c>
      <c r="N60" s="50">
        <v>124</v>
      </c>
      <c r="O60" s="34">
        <f t="shared" si="37"/>
        <v>60</v>
      </c>
      <c r="P60" s="70"/>
      <c r="Q60" s="74"/>
      <c r="R60" s="74"/>
      <c r="S60" s="74"/>
      <c r="T60" s="74"/>
      <c r="U60" s="74"/>
      <c r="V60" s="74"/>
      <c r="W60" s="75"/>
      <c r="X60" s="76"/>
      <c r="Y60" s="71"/>
      <c r="Z60" s="71"/>
      <c r="AA60" s="71"/>
      <c r="AB60" s="71"/>
      <c r="AC60" s="71"/>
      <c r="AD60" s="71"/>
      <c r="AE60" s="71"/>
      <c r="AF60" s="71"/>
      <c r="AG60" s="77"/>
      <c r="AH60" s="78"/>
      <c r="AI60" s="71"/>
      <c r="AJ60" s="71"/>
      <c r="AK60" s="71"/>
      <c r="AL60" s="71"/>
      <c r="AM60" s="71"/>
      <c r="AN60" s="71"/>
      <c r="AO60" s="71"/>
      <c r="AP60" s="71"/>
      <c r="AQ60" s="77"/>
      <c r="AR60" s="78">
        <v>88</v>
      </c>
      <c r="AS60" s="71">
        <v>38</v>
      </c>
      <c r="AT60" s="71"/>
      <c r="AU60" s="71">
        <v>2</v>
      </c>
      <c r="AV60" s="71">
        <v>2</v>
      </c>
      <c r="AW60" s="71">
        <v>96</v>
      </c>
      <c r="AX60" s="71">
        <v>42</v>
      </c>
      <c r="AY60" s="71"/>
      <c r="AZ60" s="71">
        <v>2</v>
      </c>
      <c r="BA60" s="79">
        <v>4</v>
      </c>
      <c r="BB60" s="68"/>
      <c r="BC60" s="58"/>
      <c r="BD60" s="4"/>
    </row>
    <row r="61" spans="1:58" ht="31.5" x14ac:dyDescent="0.2">
      <c r="A61" s="48" t="s">
        <v>147</v>
      </c>
      <c r="B61" s="118" t="s">
        <v>148</v>
      </c>
      <c r="C61" s="99" t="s">
        <v>423</v>
      </c>
      <c r="D61" s="70"/>
      <c r="E61" s="71">
        <v>7</v>
      </c>
      <c r="F61" s="100">
        <v>8</v>
      </c>
      <c r="G61" s="50">
        <v>194</v>
      </c>
      <c r="H61" s="33">
        <f t="shared" si="35"/>
        <v>194</v>
      </c>
      <c r="I61" s="33">
        <f>H61-J61-K61-L61-M61</f>
        <v>114</v>
      </c>
      <c r="J61" s="33">
        <f t="shared" si="36"/>
        <v>70</v>
      </c>
      <c r="K61" s="73">
        <f t="shared" si="36"/>
        <v>0</v>
      </c>
      <c r="L61" s="33">
        <f t="shared" si="36"/>
        <v>4</v>
      </c>
      <c r="M61" s="34">
        <f>S61+W61+AB61+AG61+AL61+AQ61+AV61+BA61</f>
        <v>6</v>
      </c>
      <c r="N61" s="50">
        <v>120</v>
      </c>
      <c r="O61" s="34">
        <f t="shared" si="37"/>
        <v>74</v>
      </c>
      <c r="P61" s="70"/>
      <c r="Q61" s="74"/>
      <c r="R61" s="74"/>
      <c r="S61" s="74"/>
      <c r="T61" s="74"/>
      <c r="U61" s="74"/>
      <c r="V61" s="74"/>
      <c r="W61" s="75"/>
      <c r="X61" s="76"/>
      <c r="Y61" s="71"/>
      <c r="Z61" s="71"/>
      <c r="AA61" s="71"/>
      <c r="AB61" s="71"/>
      <c r="AC61" s="71"/>
      <c r="AD61" s="71"/>
      <c r="AE61" s="71"/>
      <c r="AF61" s="71"/>
      <c r="AG61" s="77"/>
      <c r="AH61" s="78"/>
      <c r="AI61" s="71"/>
      <c r="AJ61" s="71"/>
      <c r="AK61" s="71"/>
      <c r="AL61" s="71"/>
      <c r="AM61" s="71"/>
      <c r="AN61" s="71"/>
      <c r="AO61" s="71"/>
      <c r="AP61" s="71"/>
      <c r="AQ61" s="77"/>
      <c r="AR61" s="78">
        <v>80</v>
      </c>
      <c r="AS61" s="71">
        <v>20</v>
      </c>
      <c r="AT61" s="71"/>
      <c r="AU61" s="71">
        <v>2</v>
      </c>
      <c r="AV61" s="71">
        <v>2</v>
      </c>
      <c r="AW61" s="71">
        <v>114</v>
      </c>
      <c r="AX61" s="71">
        <v>50</v>
      </c>
      <c r="AY61" s="71"/>
      <c r="AZ61" s="71">
        <v>2</v>
      </c>
      <c r="BA61" s="79">
        <v>4</v>
      </c>
      <c r="BB61" s="68"/>
      <c r="BC61" s="58"/>
      <c r="BD61" s="4"/>
    </row>
    <row r="62" spans="1:58" ht="15" customHeight="1" x14ac:dyDescent="0.2">
      <c r="A62" s="112" t="s">
        <v>149</v>
      </c>
      <c r="B62" s="113" t="s">
        <v>415</v>
      </c>
      <c r="C62" s="114"/>
      <c r="D62" s="119"/>
      <c r="E62" s="120">
        <v>8</v>
      </c>
      <c r="F62" s="121"/>
      <c r="G62" s="119">
        <v>180</v>
      </c>
      <c r="H62" s="120">
        <f t="shared" si="35"/>
        <v>180</v>
      </c>
      <c r="I62" s="120"/>
      <c r="J62" s="120"/>
      <c r="K62" s="120"/>
      <c r="L62" s="120"/>
      <c r="M62" s="121"/>
      <c r="N62" s="119">
        <v>108</v>
      </c>
      <c r="O62" s="121">
        <f t="shared" si="37"/>
        <v>72</v>
      </c>
      <c r="P62" s="119"/>
      <c r="Q62" s="120"/>
      <c r="R62" s="120"/>
      <c r="S62" s="120"/>
      <c r="T62" s="120"/>
      <c r="U62" s="120"/>
      <c r="V62" s="120"/>
      <c r="W62" s="122"/>
      <c r="X62" s="119"/>
      <c r="Y62" s="120"/>
      <c r="Z62" s="120"/>
      <c r="AA62" s="120"/>
      <c r="AB62" s="120"/>
      <c r="AC62" s="120"/>
      <c r="AD62" s="120"/>
      <c r="AE62" s="120"/>
      <c r="AF62" s="120"/>
      <c r="AG62" s="122"/>
      <c r="AH62" s="119"/>
      <c r="AI62" s="120"/>
      <c r="AJ62" s="120"/>
      <c r="AK62" s="120"/>
      <c r="AL62" s="120"/>
      <c r="AM62" s="120"/>
      <c r="AN62" s="120"/>
      <c r="AO62" s="120"/>
      <c r="AP62" s="120"/>
      <c r="AQ62" s="122"/>
      <c r="AR62" s="119"/>
      <c r="AS62" s="120"/>
      <c r="AT62" s="120"/>
      <c r="AU62" s="120"/>
      <c r="AV62" s="120"/>
      <c r="AW62" s="120">
        <v>180</v>
      </c>
      <c r="AX62" s="120"/>
      <c r="AY62" s="120"/>
      <c r="AZ62" s="120"/>
      <c r="BA62" s="123"/>
      <c r="BB62" s="68"/>
      <c r="BC62" s="58"/>
      <c r="BD62" s="4"/>
    </row>
    <row r="63" spans="1:58" ht="15.75" customHeight="1" x14ac:dyDescent="0.2">
      <c r="A63" s="112" t="s">
        <v>150</v>
      </c>
      <c r="B63" s="113" t="s">
        <v>416</v>
      </c>
      <c r="C63" s="114" t="s">
        <v>412</v>
      </c>
      <c r="D63" s="119"/>
      <c r="E63" s="120">
        <v>8</v>
      </c>
      <c r="F63" s="121"/>
      <c r="G63" s="119">
        <v>108</v>
      </c>
      <c r="H63" s="120">
        <f t="shared" si="35"/>
        <v>108</v>
      </c>
      <c r="I63" s="120"/>
      <c r="J63" s="120"/>
      <c r="K63" s="120"/>
      <c r="L63" s="120"/>
      <c r="M63" s="121"/>
      <c r="N63" s="119">
        <v>72</v>
      </c>
      <c r="O63" s="121">
        <f t="shared" si="37"/>
        <v>36</v>
      </c>
      <c r="P63" s="119"/>
      <c r="Q63" s="120"/>
      <c r="R63" s="120"/>
      <c r="S63" s="120"/>
      <c r="T63" s="120"/>
      <c r="U63" s="120"/>
      <c r="V63" s="120"/>
      <c r="W63" s="122"/>
      <c r="X63" s="119"/>
      <c r="Y63" s="120"/>
      <c r="Z63" s="120"/>
      <c r="AA63" s="120"/>
      <c r="AB63" s="120"/>
      <c r="AC63" s="120"/>
      <c r="AD63" s="120"/>
      <c r="AE63" s="120"/>
      <c r="AF63" s="120"/>
      <c r="AG63" s="122"/>
      <c r="AH63" s="119"/>
      <c r="AI63" s="120"/>
      <c r="AJ63" s="120"/>
      <c r="AK63" s="120"/>
      <c r="AL63" s="120"/>
      <c r="AM63" s="120"/>
      <c r="AN63" s="120"/>
      <c r="AO63" s="120"/>
      <c r="AP63" s="120"/>
      <c r="AQ63" s="122"/>
      <c r="AR63" s="119"/>
      <c r="AS63" s="120"/>
      <c r="AT63" s="120"/>
      <c r="AU63" s="120"/>
      <c r="AV63" s="120"/>
      <c r="AW63" s="120">
        <v>108</v>
      </c>
      <c r="AX63" s="120"/>
      <c r="AY63" s="120"/>
      <c r="AZ63" s="120"/>
      <c r="BA63" s="123"/>
      <c r="BB63" s="68"/>
      <c r="BC63" s="58"/>
      <c r="BD63" s="4"/>
    </row>
    <row r="64" spans="1:58" ht="15.75" customHeight="1" x14ac:dyDescent="0.2">
      <c r="A64" s="112" t="s">
        <v>151</v>
      </c>
      <c r="B64" s="113" t="s">
        <v>427</v>
      </c>
      <c r="C64" s="114" t="s">
        <v>92</v>
      </c>
      <c r="D64" s="119"/>
      <c r="E64" s="120"/>
      <c r="F64" s="121">
        <v>8</v>
      </c>
      <c r="G64" s="119">
        <v>6</v>
      </c>
      <c r="H64" s="115">
        <f t="shared" si="35"/>
        <v>6</v>
      </c>
      <c r="I64" s="120"/>
      <c r="J64" s="120"/>
      <c r="K64" s="120"/>
      <c r="L64" s="120"/>
      <c r="M64" s="114">
        <f>S64+W64+AB64+AG64+AL64+AQ64+AV64+BA64</f>
        <v>6</v>
      </c>
      <c r="N64" s="119">
        <v>0</v>
      </c>
      <c r="O64" s="121">
        <f t="shared" si="37"/>
        <v>6</v>
      </c>
      <c r="P64" s="119"/>
      <c r="Q64" s="120"/>
      <c r="R64" s="120"/>
      <c r="S64" s="120"/>
      <c r="T64" s="120"/>
      <c r="U64" s="120"/>
      <c r="V64" s="120"/>
      <c r="W64" s="122"/>
      <c r="X64" s="119"/>
      <c r="Y64" s="120"/>
      <c r="Z64" s="120"/>
      <c r="AA64" s="120"/>
      <c r="AB64" s="120"/>
      <c r="AC64" s="120"/>
      <c r="AD64" s="120"/>
      <c r="AE64" s="120"/>
      <c r="AF64" s="120"/>
      <c r="AG64" s="122"/>
      <c r="AH64" s="119"/>
      <c r="AI64" s="120"/>
      <c r="AJ64" s="120"/>
      <c r="AK64" s="120"/>
      <c r="AL64" s="120"/>
      <c r="AM64" s="120"/>
      <c r="AN64" s="120"/>
      <c r="AO64" s="120"/>
      <c r="AP64" s="120"/>
      <c r="AQ64" s="122"/>
      <c r="AR64" s="119"/>
      <c r="AS64" s="120"/>
      <c r="AT64" s="120"/>
      <c r="AU64" s="120"/>
      <c r="AV64" s="120"/>
      <c r="AW64" s="120">
        <v>6</v>
      </c>
      <c r="AX64" s="120"/>
      <c r="AY64" s="120"/>
      <c r="AZ64" s="120"/>
      <c r="BA64" s="123">
        <v>6</v>
      </c>
      <c r="BB64" s="68"/>
      <c r="BC64" s="58"/>
      <c r="BD64" s="4"/>
    </row>
    <row r="65" spans="1:58" ht="42" customHeight="1" x14ac:dyDescent="0.2">
      <c r="A65" s="42" t="s">
        <v>152</v>
      </c>
      <c r="B65" s="285" t="s">
        <v>426</v>
      </c>
      <c r="C65" s="44" t="str">
        <f>CONCATENATE(D65,"/",E65,"/",F65)</f>
        <v>0/0/2</v>
      </c>
      <c r="D65" s="42">
        <v>0</v>
      </c>
      <c r="E65" s="43">
        <v>0</v>
      </c>
      <c r="F65" s="45">
        <v>2</v>
      </c>
      <c r="G65" s="54">
        <f t="shared" ref="G65:BA65" si="38">SUM(G66:G70)</f>
        <v>494</v>
      </c>
      <c r="H65" s="55">
        <f t="shared" si="38"/>
        <v>494</v>
      </c>
      <c r="I65" s="55">
        <f t="shared" si="38"/>
        <v>30</v>
      </c>
      <c r="J65" s="55">
        <f t="shared" si="38"/>
        <v>92</v>
      </c>
      <c r="K65" s="55">
        <f t="shared" si="38"/>
        <v>0</v>
      </c>
      <c r="L65" s="55">
        <f t="shared" si="38"/>
        <v>2</v>
      </c>
      <c r="M65" s="55">
        <f t="shared" si="38"/>
        <v>10</v>
      </c>
      <c r="N65" s="54">
        <f t="shared" si="38"/>
        <v>452</v>
      </c>
      <c r="O65" s="56">
        <f t="shared" si="38"/>
        <v>42</v>
      </c>
      <c r="P65" s="54">
        <f t="shared" si="38"/>
        <v>0</v>
      </c>
      <c r="Q65" s="55">
        <f t="shared" si="38"/>
        <v>0</v>
      </c>
      <c r="R65" s="55">
        <f t="shared" si="38"/>
        <v>0</v>
      </c>
      <c r="S65" s="55">
        <f t="shared" si="38"/>
        <v>0</v>
      </c>
      <c r="T65" s="55">
        <f t="shared" si="38"/>
        <v>0</v>
      </c>
      <c r="U65" s="55">
        <f t="shared" si="38"/>
        <v>0</v>
      </c>
      <c r="V65" s="55">
        <f t="shared" si="38"/>
        <v>0</v>
      </c>
      <c r="W65" s="55">
        <f t="shared" si="38"/>
        <v>0</v>
      </c>
      <c r="X65" s="54">
        <f t="shared" si="38"/>
        <v>0</v>
      </c>
      <c r="Y65" s="55">
        <f t="shared" si="38"/>
        <v>0</v>
      </c>
      <c r="Z65" s="55">
        <f t="shared" si="38"/>
        <v>0</v>
      </c>
      <c r="AA65" s="55">
        <f t="shared" si="38"/>
        <v>0</v>
      </c>
      <c r="AB65" s="55">
        <f t="shared" si="38"/>
        <v>0</v>
      </c>
      <c r="AC65" s="55">
        <f t="shared" si="38"/>
        <v>0</v>
      </c>
      <c r="AD65" s="55">
        <f t="shared" si="38"/>
        <v>0</v>
      </c>
      <c r="AE65" s="55">
        <f t="shared" si="38"/>
        <v>0</v>
      </c>
      <c r="AF65" s="55">
        <f t="shared" si="38"/>
        <v>0</v>
      </c>
      <c r="AG65" s="55">
        <f t="shared" si="38"/>
        <v>0</v>
      </c>
      <c r="AH65" s="54">
        <f t="shared" si="38"/>
        <v>0</v>
      </c>
      <c r="AI65" s="55">
        <f t="shared" si="38"/>
        <v>0</v>
      </c>
      <c r="AJ65" s="55">
        <f t="shared" si="38"/>
        <v>0</v>
      </c>
      <c r="AK65" s="55">
        <f t="shared" si="38"/>
        <v>0</v>
      </c>
      <c r="AL65" s="55">
        <f t="shared" si="38"/>
        <v>0</v>
      </c>
      <c r="AM65" s="55">
        <f t="shared" si="38"/>
        <v>350</v>
      </c>
      <c r="AN65" s="55">
        <f t="shared" si="38"/>
        <v>92</v>
      </c>
      <c r="AO65" s="55">
        <f t="shared" si="38"/>
        <v>0</v>
      </c>
      <c r="AP65" s="55">
        <f t="shared" si="38"/>
        <v>2</v>
      </c>
      <c r="AQ65" s="67">
        <f t="shared" si="38"/>
        <v>10</v>
      </c>
      <c r="AR65" s="54">
        <f t="shared" si="38"/>
        <v>0</v>
      </c>
      <c r="AS65" s="55">
        <f t="shared" si="38"/>
        <v>0</v>
      </c>
      <c r="AT65" s="55">
        <f t="shared" si="38"/>
        <v>0</v>
      </c>
      <c r="AU65" s="55">
        <f t="shared" si="38"/>
        <v>0</v>
      </c>
      <c r="AV65" s="55">
        <f t="shared" si="38"/>
        <v>0</v>
      </c>
      <c r="AW65" s="55">
        <f t="shared" si="38"/>
        <v>144</v>
      </c>
      <c r="AX65" s="55">
        <f t="shared" si="38"/>
        <v>0</v>
      </c>
      <c r="AY65" s="55">
        <f t="shared" si="38"/>
        <v>0</v>
      </c>
      <c r="AZ65" s="55">
        <f t="shared" si="38"/>
        <v>0</v>
      </c>
      <c r="BA65" s="56">
        <f t="shared" si="38"/>
        <v>0</v>
      </c>
      <c r="BB65" s="68"/>
      <c r="BC65" s="58"/>
      <c r="BD65" s="4"/>
      <c r="BF65" s="69"/>
    </row>
    <row r="66" spans="1:58" ht="31.5" x14ac:dyDescent="0.2">
      <c r="A66" s="48" t="s">
        <v>153</v>
      </c>
      <c r="B66" s="63" t="s">
        <v>154</v>
      </c>
      <c r="C66" s="99" t="s">
        <v>92</v>
      </c>
      <c r="D66" s="70"/>
      <c r="E66" s="74"/>
      <c r="F66" s="100">
        <v>6</v>
      </c>
      <c r="G66" s="50">
        <v>128</v>
      </c>
      <c r="H66" s="33">
        <f>X66+AC66+AH66+AM66+AR66+AW66</f>
        <v>128</v>
      </c>
      <c r="I66" s="33">
        <f>H66-J66-K66-L66-M66</f>
        <v>30</v>
      </c>
      <c r="J66" s="33">
        <f>Y66+AD66+AI66+AN66+AS66+AX66</f>
        <v>92</v>
      </c>
      <c r="K66" s="33"/>
      <c r="L66" s="33">
        <f>AA66+AF66+AK66+AP66+AU66+AZ66</f>
        <v>2</v>
      </c>
      <c r="M66" s="34">
        <f>S66+W66+AB66+AG66+AL66+AQ66+AV66+BA66</f>
        <v>4</v>
      </c>
      <c r="N66" s="50">
        <v>128</v>
      </c>
      <c r="O66" s="34">
        <f>G66-N66</f>
        <v>0</v>
      </c>
      <c r="P66" s="70"/>
      <c r="Q66" s="74"/>
      <c r="R66" s="74"/>
      <c r="S66" s="74"/>
      <c r="T66" s="74"/>
      <c r="U66" s="74"/>
      <c r="V66" s="74"/>
      <c r="W66" s="75"/>
      <c r="X66" s="76"/>
      <c r="Y66" s="71"/>
      <c r="Z66" s="71"/>
      <c r="AA66" s="71"/>
      <c r="AB66" s="71"/>
      <c r="AC66" s="71"/>
      <c r="AD66" s="71"/>
      <c r="AE66" s="71"/>
      <c r="AF66" s="71"/>
      <c r="AG66" s="77"/>
      <c r="AH66" s="78"/>
      <c r="AI66" s="71"/>
      <c r="AJ66" s="71"/>
      <c r="AK66" s="71"/>
      <c r="AL66" s="71"/>
      <c r="AM66" s="71">
        <v>128</v>
      </c>
      <c r="AN66" s="71">
        <v>92</v>
      </c>
      <c r="AO66" s="71"/>
      <c r="AP66" s="71">
        <v>2</v>
      </c>
      <c r="AQ66" s="77">
        <v>4</v>
      </c>
      <c r="AR66" s="78"/>
      <c r="AS66" s="71"/>
      <c r="AT66" s="71"/>
      <c r="AU66" s="71"/>
      <c r="AV66" s="71"/>
      <c r="AW66" s="71"/>
      <c r="AX66" s="71"/>
      <c r="AY66" s="71"/>
      <c r="AZ66" s="71"/>
      <c r="BA66" s="79"/>
      <c r="BB66" s="68"/>
      <c r="BC66" s="58"/>
      <c r="BD66" s="4"/>
    </row>
    <row r="67" spans="1:58" ht="15" customHeight="1" x14ac:dyDescent="0.2">
      <c r="A67" s="112" t="s">
        <v>155</v>
      </c>
      <c r="B67" s="113" t="s">
        <v>417</v>
      </c>
      <c r="C67" s="114"/>
      <c r="D67" s="119"/>
      <c r="E67" s="120">
        <v>6</v>
      </c>
      <c r="F67" s="121"/>
      <c r="G67" s="119">
        <v>108</v>
      </c>
      <c r="H67" s="120">
        <f>X67+AC67+AH67+AM67+AR67+AW67</f>
        <v>108</v>
      </c>
      <c r="I67" s="120"/>
      <c r="J67" s="120"/>
      <c r="K67" s="120"/>
      <c r="L67" s="120"/>
      <c r="M67" s="121"/>
      <c r="N67" s="119">
        <v>108</v>
      </c>
      <c r="O67" s="121">
        <f>G67-N67</f>
        <v>0</v>
      </c>
      <c r="P67" s="119"/>
      <c r="Q67" s="120"/>
      <c r="R67" s="120"/>
      <c r="S67" s="120"/>
      <c r="T67" s="120"/>
      <c r="U67" s="120"/>
      <c r="V67" s="120"/>
      <c r="W67" s="122"/>
      <c r="X67" s="119"/>
      <c r="Y67" s="120"/>
      <c r="Z67" s="120"/>
      <c r="AA67" s="120"/>
      <c r="AB67" s="120"/>
      <c r="AC67" s="120"/>
      <c r="AD67" s="120"/>
      <c r="AE67" s="120"/>
      <c r="AF67" s="120"/>
      <c r="AG67" s="122"/>
      <c r="AH67" s="119"/>
      <c r="AI67" s="120"/>
      <c r="AJ67" s="120"/>
      <c r="AK67" s="120"/>
      <c r="AL67" s="120"/>
      <c r="AM67" s="120">
        <v>108</v>
      </c>
      <c r="AN67" s="120"/>
      <c r="AO67" s="120"/>
      <c r="AP67" s="120"/>
      <c r="AQ67" s="122"/>
      <c r="AR67" s="119"/>
      <c r="AS67" s="120"/>
      <c r="AT67" s="120"/>
      <c r="AU67" s="120"/>
      <c r="AV67" s="122"/>
      <c r="AW67" s="120"/>
      <c r="AX67" s="120"/>
      <c r="AY67" s="120"/>
      <c r="AZ67" s="120"/>
      <c r="BA67" s="123"/>
      <c r="BB67" s="68"/>
      <c r="BC67" s="58"/>
      <c r="BD67" s="4"/>
    </row>
    <row r="68" spans="1:58" ht="15.75" customHeight="1" x14ac:dyDescent="0.2">
      <c r="A68" s="112" t="s">
        <v>156</v>
      </c>
      <c r="B68" s="113" t="s">
        <v>418</v>
      </c>
      <c r="C68" s="114" t="s">
        <v>412</v>
      </c>
      <c r="D68" s="119"/>
      <c r="E68" s="120">
        <v>6</v>
      </c>
      <c r="F68" s="121"/>
      <c r="G68" s="119">
        <v>108</v>
      </c>
      <c r="H68" s="120">
        <f>X68+AC68+AH68+AM68+AR68+AW68</f>
        <v>108</v>
      </c>
      <c r="I68" s="120"/>
      <c r="J68" s="120"/>
      <c r="K68" s="120"/>
      <c r="L68" s="120"/>
      <c r="M68" s="121"/>
      <c r="N68" s="119">
        <v>72</v>
      </c>
      <c r="O68" s="121">
        <f>G68-N68</f>
        <v>36</v>
      </c>
      <c r="P68" s="119"/>
      <c r="Q68" s="120"/>
      <c r="R68" s="120"/>
      <c r="S68" s="120"/>
      <c r="T68" s="120"/>
      <c r="U68" s="120"/>
      <c r="V68" s="120"/>
      <c r="W68" s="122"/>
      <c r="X68" s="119"/>
      <c r="Y68" s="120"/>
      <c r="Z68" s="120"/>
      <c r="AA68" s="120"/>
      <c r="AB68" s="120"/>
      <c r="AC68" s="120"/>
      <c r="AD68" s="120"/>
      <c r="AE68" s="120"/>
      <c r="AF68" s="120"/>
      <c r="AG68" s="122"/>
      <c r="AH68" s="119"/>
      <c r="AI68" s="120"/>
      <c r="AJ68" s="120"/>
      <c r="AK68" s="120"/>
      <c r="AL68" s="120"/>
      <c r="AM68" s="120">
        <v>108</v>
      </c>
      <c r="AN68" s="120"/>
      <c r="AO68" s="120"/>
      <c r="AP68" s="120"/>
      <c r="AQ68" s="122"/>
      <c r="AR68" s="119"/>
      <c r="AS68" s="120"/>
      <c r="AT68" s="120"/>
      <c r="AU68" s="120"/>
      <c r="AV68" s="122"/>
      <c r="AW68" s="120"/>
      <c r="AX68" s="120"/>
      <c r="AY68" s="120"/>
      <c r="AZ68" s="120"/>
      <c r="BA68" s="123"/>
      <c r="BB68" s="68"/>
      <c r="BC68" s="58"/>
      <c r="BD68" s="4"/>
    </row>
    <row r="69" spans="1:58" ht="15.75" customHeight="1" x14ac:dyDescent="0.2">
      <c r="A69" s="112" t="s">
        <v>157</v>
      </c>
      <c r="B69" s="113" t="s">
        <v>429</v>
      </c>
      <c r="C69" s="114" t="s">
        <v>92</v>
      </c>
      <c r="D69" s="119"/>
      <c r="E69" s="120"/>
      <c r="F69" s="121">
        <v>6</v>
      </c>
      <c r="G69" s="119">
        <v>6</v>
      </c>
      <c r="H69" s="115">
        <f>X69+AC69+AH69+AM69+AR69+AW69</f>
        <v>6</v>
      </c>
      <c r="I69" s="120"/>
      <c r="J69" s="120"/>
      <c r="K69" s="120"/>
      <c r="L69" s="120"/>
      <c r="M69" s="114">
        <f>S69+W69+AB69+AG69+AL69+AQ69+AV69+BA69</f>
        <v>6</v>
      </c>
      <c r="N69" s="119">
        <v>0</v>
      </c>
      <c r="O69" s="121">
        <f>G69-N69</f>
        <v>6</v>
      </c>
      <c r="P69" s="119"/>
      <c r="Q69" s="120"/>
      <c r="R69" s="120"/>
      <c r="S69" s="120"/>
      <c r="T69" s="120"/>
      <c r="U69" s="120"/>
      <c r="V69" s="120"/>
      <c r="W69" s="122"/>
      <c r="X69" s="119"/>
      <c r="Y69" s="120"/>
      <c r="Z69" s="120"/>
      <c r="AA69" s="120"/>
      <c r="AB69" s="120"/>
      <c r="AC69" s="120"/>
      <c r="AD69" s="120"/>
      <c r="AE69" s="120"/>
      <c r="AF69" s="120"/>
      <c r="AG69" s="122"/>
      <c r="AH69" s="119"/>
      <c r="AI69" s="120"/>
      <c r="AJ69" s="120"/>
      <c r="AK69" s="120"/>
      <c r="AL69" s="120"/>
      <c r="AM69" s="120">
        <v>6</v>
      </c>
      <c r="AN69" s="120"/>
      <c r="AO69" s="120"/>
      <c r="AP69" s="120"/>
      <c r="AQ69" s="122">
        <v>6</v>
      </c>
      <c r="AR69" s="119"/>
      <c r="AS69" s="120"/>
      <c r="AT69" s="120"/>
      <c r="AU69" s="120"/>
      <c r="AV69" s="122"/>
      <c r="AW69" s="120"/>
      <c r="AX69" s="120"/>
      <c r="AY69" s="120"/>
      <c r="AZ69" s="120"/>
      <c r="BA69" s="123"/>
      <c r="BB69" s="68"/>
      <c r="BC69" s="58"/>
      <c r="BD69" s="4"/>
    </row>
    <row r="70" spans="1:58" ht="15.75" customHeight="1" x14ac:dyDescent="0.2">
      <c r="A70" s="112" t="s">
        <v>158</v>
      </c>
      <c r="B70" s="113" t="s">
        <v>159</v>
      </c>
      <c r="C70" s="114" t="s">
        <v>412</v>
      </c>
      <c r="D70" s="112"/>
      <c r="E70" s="115">
        <v>8</v>
      </c>
      <c r="F70" s="114"/>
      <c r="G70" s="112">
        <v>144</v>
      </c>
      <c r="H70" s="115">
        <f>X70+AC70+AH70+AM70+AR70+AW70</f>
        <v>144</v>
      </c>
      <c r="I70" s="115"/>
      <c r="J70" s="115"/>
      <c r="K70" s="115"/>
      <c r="L70" s="115"/>
      <c r="M70" s="114"/>
      <c r="N70" s="112">
        <v>144</v>
      </c>
      <c r="O70" s="121">
        <f>G70-N70</f>
        <v>0</v>
      </c>
      <c r="P70" s="112"/>
      <c r="Q70" s="115"/>
      <c r="R70" s="115"/>
      <c r="S70" s="115"/>
      <c r="T70" s="115"/>
      <c r="U70" s="115"/>
      <c r="V70" s="115"/>
      <c r="W70" s="116"/>
      <c r="X70" s="112"/>
      <c r="Y70" s="115"/>
      <c r="Z70" s="115"/>
      <c r="AA70" s="115"/>
      <c r="AB70" s="115"/>
      <c r="AC70" s="115"/>
      <c r="AD70" s="115"/>
      <c r="AE70" s="115"/>
      <c r="AF70" s="115"/>
      <c r="AG70" s="116"/>
      <c r="AH70" s="112"/>
      <c r="AI70" s="115"/>
      <c r="AJ70" s="115"/>
      <c r="AK70" s="115"/>
      <c r="AL70" s="115"/>
      <c r="AM70" s="115"/>
      <c r="AN70" s="115"/>
      <c r="AO70" s="115"/>
      <c r="AP70" s="115"/>
      <c r="AQ70" s="116"/>
      <c r="AR70" s="112"/>
      <c r="AS70" s="115"/>
      <c r="AT70" s="115"/>
      <c r="AU70" s="115"/>
      <c r="AV70" s="115"/>
      <c r="AW70" s="115">
        <v>144</v>
      </c>
      <c r="AX70" s="115"/>
      <c r="AY70" s="115"/>
      <c r="AZ70" s="115"/>
      <c r="BA70" s="117"/>
      <c r="BB70" s="68"/>
      <c r="BC70" s="58"/>
      <c r="BD70" s="4"/>
    </row>
    <row r="71" spans="1:58" s="96" customFormat="1" ht="24.75" customHeight="1" x14ac:dyDescent="0.25">
      <c r="A71" s="84"/>
      <c r="B71" s="85" t="s">
        <v>160</v>
      </c>
      <c r="C71" s="44" t="str">
        <f>CONCATENATE(D71,"/",E71,"/",F71)</f>
        <v>0/6/7</v>
      </c>
      <c r="D71" s="89">
        <f t="shared" ref="D71:AI71" si="39">D50+D57+D65</f>
        <v>0</v>
      </c>
      <c r="E71" s="87">
        <f t="shared" si="39"/>
        <v>6</v>
      </c>
      <c r="F71" s="90">
        <f t="shared" si="39"/>
        <v>7</v>
      </c>
      <c r="G71" s="89">
        <f t="shared" si="39"/>
        <v>2432</v>
      </c>
      <c r="H71" s="87">
        <f t="shared" si="39"/>
        <v>2432</v>
      </c>
      <c r="I71" s="87">
        <f t="shared" si="39"/>
        <v>684</v>
      </c>
      <c r="J71" s="87">
        <f t="shared" si="39"/>
        <v>604</v>
      </c>
      <c r="K71" s="87">
        <f t="shared" si="39"/>
        <v>24</v>
      </c>
      <c r="L71" s="87">
        <f t="shared" si="39"/>
        <v>22</v>
      </c>
      <c r="M71" s="90">
        <f t="shared" si="39"/>
        <v>54</v>
      </c>
      <c r="N71" s="89">
        <f t="shared" si="39"/>
        <v>1752</v>
      </c>
      <c r="O71" s="90">
        <f t="shared" si="39"/>
        <v>680</v>
      </c>
      <c r="P71" s="89">
        <f t="shared" si="39"/>
        <v>0</v>
      </c>
      <c r="Q71" s="87">
        <f t="shared" si="39"/>
        <v>0</v>
      </c>
      <c r="R71" s="87">
        <f t="shared" si="39"/>
        <v>0</v>
      </c>
      <c r="S71" s="87">
        <f t="shared" si="39"/>
        <v>0</v>
      </c>
      <c r="T71" s="87">
        <f t="shared" si="39"/>
        <v>0</v>
      </c>
      <c r="U71" s="87">
        <f t="shared" si="39"/>
        <v>0</v>
      </c>
      <c r="V71" s="87">
        <f t="shared" si="39"/>
        <v>0</v>
      </c>
      <c r="W71" s="90">
        <f t="shared" si="39"/>
        <v>0</v>
      </c>
      <c r="X71" s="89">
        <f t="shared" si="39"/>
        <v>0</v>
      </c>
      <c r="Y71" s="87">
        <f t="shared" si="39"/>
        <v>0</v>
      </c>
      <c r="Z71" s="87">
        <f t="shared" si="39"/>
        <v>0</v>
      </c>
      <c r="AA71" s="87">
        <f t="shared" si="39"/>
        <v>0</v>
      </c>
      <c r="AB71" s="87">
        <f t="shared" si="39"/>
        <v>0</v>
      </c>
      <c r="AC71" s="87">
        <f t="shared" si="39"/>
        <v>248</v>
      </c>
      <c r="AD71" s="87">
        <f t="shared" si="39"/>
        <v>92</v>
      </c>
      <c r="AE71" s="87">
        <f t="shared" si="39"/>
        <v>0</v>
      </c>
      <c r="AF71" s="87">
        <f t="shared" si="39"/>
        <v>2</v>
      </c>
      <c r="AG71" s="90">
        <f t="shared" si="39"/>
        <v>4</v>
      </c>
      <c r="AH71" s="89">
        <f t="shared" si="39"/>
        <v>340</v>
      </c>
      <c r="AI71" s="87">
        <f t="shared" si="39"/>
        <v>152</v>
      </c>
      <c r="AJ71" s="87">
        <f t="shared" ref="AJ71:BA71" si="40">AJ50+AJ57+AJ65</f>
        <v>0</v>
      </c>
      <c r="AK71" s="87">
        <f t="shared" si="40"/>
        <v>4</v>
      </c>
      <c r="AL71" s="87">
        <f t="shared" si="40"/>
        <v>6</v>
      </c>
      <c r="AM71" s="87">
        <f t="shared" si="40"/>
        <v>584</v>
      </c>
      <c r="AN71" s="87">
        <f t="shared" si="40"/>
        <v>192</v>
      </c>
      <c r="AO71" s="87">
        <f t="shared" si="40"/>
        <v>0</v>
      </c>
      <c r="AP71" s="87">
        <f t="shared" si="40"/>
        <v>6</v>
      </c>
      <c r="AQ71" s="91">
        <f t="shared" si="40"/>
        <v>18</v>
      </c>
      <c r="AR71" s="89">
        <f t="shared" si="40"/>
        <v>612</v>
      </c>
      <c r="AS71" s="87">
        <f t="shared" si="40"/>
        <v>76</v>
      </c>
      <c r="AT71" s="87">
        <f t="shared" si="40"/>
        <v>0</v>
      </c>
      <c r="AU71" s="87">
        <f t="shared" si="40"/>
        <v>6</v>
      </c>
      <c r="AV71" s="87">
        <f t="shared" si="40"/>
        <v>12</v>
      </c>
      <c r="AW71" s="87">
        <f t="shared" si="40"/>
        <v>648</v>
      </c>
      <c r="AX71" s="87">
        <f t="shared" si="40"/>
        <v>92</v>
      </c>
      <c r="AY71" s="87">
        <f t="shared" si="40"/>
        <v>0</v>
      </c>
      <c r="AZ71" s="87">
        <f t="shared" si="40"/>
        <v>4</v>
      </c>
      <c r="BA71" s="90">
        <f t="shared" si="40"/>
        <v>14</v>
      </c>
      <c r="BB71" s="92"/>
      <c r="BC71" s="93"/>
      <c r="BD71" s="94"/>
      <c r="BE71" s="95"/>
    </row>
    <row r="72" spans="1:58" ht="30.75" customHeight="1" x14ac:dyDescent="0.2">
      <c r="A72" s="48" t="s">
        <v>161</v>
      </c>
      <c r="B72" s="49" t="s">
        <v>162</v>
      </c>
      <c r="C72" s="99"/>
      <c r="D72" s="70"/>
      <c r="E72" s="71"/>
      <c r="F72" s="100"/>
      <c r="G72" s="50">
        <v>216</v>
      </c>
      <c r="H72" s="33">
        <f>X72+AC72+AH72+AM72+AR72+AW72</f>
        <v>216</v>
      </c>
      <c r="I72" s="33"/>
      <c r="J72" s="33"/>
      <c r="K72" s="73"/>
      <c r="L72" s="33"/>
      <c r="M72" s="34"/>
      <c r="N72" s="50"/>
      <c r="O72" s="34"/>
      <c r="P72" s="70"/>
      <c r="Q72" s="74"/>
      <c r="R72" s="74"/>
      <c r="S72" s="74"/>
      <c r="T72" s="74"/>
      <c r="U72" s="74"/>
      <c r="V72" s="74"/>
      <c r="W72" s="75"/>
      <c r="X72" s="76"/>
      <c r="Y72" s="71"/>
      <c r="Z72" s="71"/>
      <c r="AA72" s="71"/>
      <c r="AB72" s="71"/>
      <c r="AC72" s="71"/>
      <c r="AD72" s="71"/>
      <c r="AE72" s="71"/>
      <c r="AF72" s="71"/>
      <c r="AG72" s="77"/>
      <c r="AH72" s="78"/>
      <c r="AI72" s="71"/>
      <c r="AJ72" s="71"/>
      <c r="AK72" s="71"/>
      <c r="AL72" s="71"/>
      <c r="AM72" s="71"/>
      <c r="AN72" s="71"/>
      <c r="AO72" s="71"/>
      <c r="AP72" s="71"/>
      <c r="AQ72" s="77"/>
      <c r="AR72" s="78"/>
      <c r="AS72" s="71"/>
      <c r="AT72" s="71"/>
      <c r="AU72" s="71"/>
      <c r="AV72" s="71"/>
      <c r="AW72" s="71">
        <v>216</v>
      </c>
      <c r="AX72" s="71"/>
      <c r="AY72" s="71"/>
      <c r="AZ72" s="71"/>
      <c r="BA72" s="79"/>
      <c r="BB72" s="22"/>
      <c r="BC72" s="58"/>
      <c r="BD72" s="4"/>
    </row>
    <row r="73" spans="1:58" s="3" customFormat="1" ht="34.5" hidden="1" customHeight="1" x14ac:dyDescent="0.2">
      <c r="A73" s="124"/>
      <c r="B73" s="125" t="s">
        <v>163</v>
      </c>
      <c r="C73" s="126" t="str">
        <f>_xlfn.CONCAT(D73,"/",E73,"/",F73)</f>
        <v>7/24/13</v>
      </c>
      <c r="D73" s="127">
        <f>D71+D49</f>
        <v>7</v>
      </c>
      <c r="E73" s="128">
        <f>E71+E49</f>
        <v>24</v>
      </c>
      <c r="F73" s="129">
        <f>F71+F49</f>
        <v>13</v>
      </c>
      <c r="G73" s="127">
        <f>G71+G49+G72</f>
        <v>4464</v>
      </c>
      <c r="H73" s="128">
        <f>H71+H49+H72</f>
        <v>4464</v>
      </c>
      <c r="I73" s="128">
        <f>I71+I49</f>
        <v>1400</v>
      </c>
      <c r="J73" s="128">
        <f>J71+J49</f>
        <v>1534</v>
      </c>
      <c r="K73" s="128">
        <f>K71+K49</f>
        <v>48</v>
      </c>
      <c r="L73" s="128">
        <f>L71+L49</f>
        <v>94</v>
      </c>
      <c r="M73" s="129">
        <f>M71+M49</f>
        <v>128</v>
      </c>
      <c r="N73" s="127">
        <f>N71+N49+N72</f>
        <v>2952</v>
      </c>
      <c r="O73" s="129">
        <f t="shared" ref="O73:BA73" si="41">O71+O49</f>
        <v>1296</v>
      </c>
      <c r="P73" s="127">
        <f t="shared" si="41"/>
        <v>0</v>
      </c>
      <c r="Q73" s="128">
        <f t="shared" si="41"/>
        <v>0</v>
      </c>
      <c r="R73" s="128">
        <f t="shared" si="41"/>
        <v>0</v>
      </c>
      <c r="S73" s="128">
        <f t="shared" si="41"/>
        <v>0</v>
      </c>
      <c r="T73" s="128">
        <f t="shared" si="41"/>
        <v>0</v>
      </c>
      <c r="U73" s="128">
        <f t="shared" si="41"/>
        <v>0</v>
      </c>
      <c r="V73" s="128">
        <f t="shared" si="41"/>
        <v>0</v>
      </c>
      <c r="W73" s="129">
        <f t="shared" si="41"/>
        <v>0</v>
      </c>
      <c r="X73" s="127">
        <f t="shared" si="41"/>
        <v>612</v>
      </c>
      <c r="Y73" s="128">
        <f t="shared" si="41"/>
        <v>292</v>
      </c>
      <c r="Z73" s="128">
        <f t="shared" si="41"/>
        <v>0</v>
      </c>
      <c r="AA73" s="128">
        <f t="shared" si="41"/>
        <v>24</v>
      </c>
      <c r="AB73" s="128">
        <f t="shared" si="41"/>
        <v>14</v>
      </c>
      <c r="AC73" s="128">
        <f t="shared" si="41"/>
        <v>882</v>
      </c>
      <c r="AD73" s="128">
        <f t="shared" si="41"/>
        <v>404</v>
      </c>
      <c r="AE73" s="128">
        <f t="shared" si="41"/>
        <v>0</v>
      </c>
      <c r="AF73" s="128">
        <f t="shared" si="41"/>
        <v>30</v>
      </c>
      <c r="AG73" s="129">
        <f t="shared" si="41"/>
        <v>42</v>
      </c>
      <c r="AH73" s="127">
        <f t="shared" si="41"/>
        <v>612</v>
      </c>
      <c r="AI73" s="128">
        <f t="shared" si="41"/>
        <v>328</v>
      </c>
      <c r="AJ73" s="128">
        <f t="shared" si="41"/>
        <v>0</v>
      </c>
      <c r="AK73" s="128">
        <f t="shared" si="41"/>
        <v>12</v>
      </c>
      <c r="AL73" s="128">
        <f t="shared" si="41"/>
        <v>10</v>
      </c>
      <c r="AM73" s="128">
        <f t="shared" si="41"/>
        <v>882</v>
      </c>
      <c r="AN73" s="128">
        <f t="shared" si="41"/>
        <v>342</v>
      </c>
      <c r="AO73" s="128">
        <f t="shared" si="41"/>
        <v>0</v>
      </c>
      <c r="AP73" s="128">
        <f t="shared" si="41"/>
        <v>18</v>
      </c>
      <c r="AQ73" s="130">
        <f t="shared" si="41"/>
        <v>36</v>
      </c>
      <c r="AR73" s="127">
        <f t="shared" si="41"/>
        <v>612</v>
      </c>
      <c r="AS73" s="128">
        <f t="shared" si="41"/>
        <v>76</v>
      </c>
      <c r="AT73" s="128">
        <f t="shared" si="41"/>
        <v>0</v>
      </c>
      <c r="AU73" s="128">
        <f t="shared" si="41"/>
        <v>6</v>
      </c>
      <c r="AV73" s="128">
        <f t="shared" si="41"/>
        <v>12</v>
      </c>
      <c r="AW73" s="128">
        <f t="shared" si="41"/>
        <v>648</v>
      </c>
      <c r="AX73" s="128">
        <f t="shared" si="41"/>
        <v>92</v>
      </c>
      <c r="AY73" s="128">
        <f t="shared" si="41"/>
        <v>0</v>
      </c>
      <c r="AZ73" s="128">
        <f t="shared" si="41"/>
        <v>4</v>
      </c>
      <c r="BA73" s="129">
        <f t="shared" si="41"/>
        <v>14</v>
      </c>
      <c r="BB73" s="131"/>
      <c r="BC73" s="132"/>
    </row>
    <row r="74" spans="1:58" s="3" customFormat="1" ht="34.5" customHeight="1" x14ac:dyDescent="0.2">
      <c r="A74" s="124"/>
      <c r="B74" s="125" t="s">
        <v>395</v>
      </c>
      <c r="C74" s="126" t="str">
        <f>_xlfn.CONCAT(D74,"/",E74,"/",F74)</f>
        <v>9/34/19</v>
      </c>
      <c r="D74" s="127">
        <f t="shared" ref="D74:AI74" si="42">D73+D8</f>
        <v>9</v>
      </c>
      <c r="E74" s="128">
        <f t="shared" si="42"/>
        <v>34</v>
      </c>
      <c r="F74" s="129">
        <f t="shared" si="42"/>
        <v>19</v>
      </c>
      <c r="G74" s="127">
        <f t="shared" si="42"/>
        <v>5940</v>
      </c>
      <c r="H74" s="128">
        <f t="shared" si="42"/>
        <v>5940</v>
      </c>
      <c r="I74" s="128">
        <f t="shared" si="42"/>
        <v>2256</v>
      </c>
      <c r="J74" s="128">
        <f t="shared" si="42"/>
        <v>2106</v>
      </c>
      <c r="K74" s="128">
        <f t="shared" si="42"/>
        <v>48</v>
      </c>
      <c r="L74" s="128">
        <f t="shared" si="42"/>
        <v>94</v>
      </c>
      <c r="M74" s="128">
        <f t="shared" si="42"/>
        <v>176</v>
      </c>
      <c r="N74" s="127">
        <f t="shared" si="42"/>
        <v>2952</v>
      </c>
      <c r="O74" s="128">
        <f t="shared" si="42"/>
        <v>1296</v>
      </c>
      <c r="P74" s="127">
        <f t="shared" si="42"/>
        <v>612</v>
      </c>
      <c r="Q74" s="128">
        <f t="shared" si="42"/>
        <v>226</v>
      </c>
      <c r="R74" s="128">
        <f t="shared" si="42"/>
        <v>0</v>
      </c>
      <c r="S74" s="128">
        <f t="shared" si="42"/>
        <v>16</v>
      </c>
      <c r="T74" s="128">
        <f t="shared" si="42"/>
        <v>864</v>
      </c>
      <c r="U74" s="128">
        <f t="shared" si="42"/>
        <v>346</v>
      </c>
      <c r="V74" s="128">
        <f t="shared" si="42"/>
        <v>0</v>
      </c>
      <c r="W74" s="128">
        <f t="shared" si="42"/>
        <v>32</v>
      </c>
      <c r="X74" s="127">
        <f t="shared" si="42"/>
        <v>612</v>
      </c>
      <c r="Y74" s="128">
        <f t="shared" si="42"/>
        <v>292</v>
      </c>
      <c r="Z74" s="128">
        <f t="shared" si="42"/>
        <v>0</v>
      </c>
      <c r="AA74" s="128">
        <f t="shared" si="42"/>
        <v>24</v>
      </c>
      <c r="AB74" s="128">
        <f t="shared" si="42"/>
        <v>14</v>
      </c>
      <c r="AC74" s="128">
        <f t="shared" si="42"/>
        <v>882</v>
      </c>
      <c r="AD74" s="128">
        <f t="shared" si="42"/>
        <v>404</v>
      </c>
      <c r="AE74" s="128">
        <f t="shared" si="42"/>
        <v>0</v>
      </c>
      <c r="AF74" s="128">
        <f t="shared" si="42"/>
        <v>30</v>
      </c>
      <c r="AG74" s="128">
        <f t="shared" si="42"/>
        <v>42</v>
      </c>
      <c r="AH74" s="127">
        <f t="shared" si="42"/>
        <v>612</v>
      </c>
      <c r="AI74" s="128">
        <f t="shared" si="42"/>
        <v>328</v>
      </c>
      <c r="AJ74" s="128">
        <f t="shared" ref="AJ74:BA74" si="43">AJ73+AJ8</f>
        <v>0</v>
      </c>
      <c r="AK74" s="128">
        <f t="shared" si="43"/>
        <v>12</v>
      </c>
      <c r="AL74" s="128">
        <f t="shared" si="43"/>
        <v>10</v>
      </c>
      <c r="AM74" s="128">
        <f t="shared" si="43"/>
        <v>882</v>
      </c>
      <c r="AN74" s="128">
        <f t="shared" si="43"/>
        <v>342</v>
      </c>
      <c r="AO74" s="128">
        <f t="shared" si="43"/>
        <v>0</v>
      </c>
      <c r="AP74" s="128">
        <f t="shared" si="43"/>
        <v>18</v>
      </c>
      <c r="AQ74" s="130">
        <f t="shared" si="43"/>
        <v>36</v>
      </c>
      <c r="AR74" s="127">
        <f t="shared" si="43"/>
        <v>612</v>
      </c>
      <c r="AS74" s="128">
        <f t="shared" si="43"/>
        <v>76</v>
      </c>
      <c r="AT74" s="128">
        <f t="shared" si="43"/>
        <v>0</v>
      </c>
      <c r="AU74" s="128">
        <f t="shared" si="43"/>
        <v>6</v>
      </c>
      <c r="AV74" s="128">
        <f t="shared" si="43"/>
        <v>12</v>
      </c>
      <c r="AW74" s="128">
        <f t="shared" si="43"/>
        <v>648</v>
      </c>
      <c r="AX74" s="128">
        <f t="shared" si="43"/>
        <v>92</v>
      </c>
      <c r="AY74" s="128">
        <f t="shared" si="43"/>
        <v>0</v>
      </c>
      <c r="AZ74" s="128">
        <f t="shared" si="43"/>
        <v>4</v>
      </c>
      <c r="BA74" s="129">
        <f t="shared" si="43"/>
        <v>14</v>
      </c>
      <c r="BB74" s="131"/>
      <c r="BC74" s="132"/>
    </row>
    <row r="76" spans="1:58" ht="12.75" hidden="1" customHeight="1" x14ac:dyDescent="0.2">
      <c r="A76" s="133"/>
      <c r="B76" s="133"/>
      <c r="C76" s="133"/>
      <c r="D76" s="134"/>
      <c r="E76" s="134"/>
      <c r="F76" s="134"/>
      <c r="G76" s="135"/>
      <c r="H76" s="134"/>
      <c r="I76" s="134"/>
      <c r="J76" s="134"/>
      <c r="K76" s="134"/>
      <c r="L76" s="134"/>
      <c r="M76" s="134"/>
      <c r="N76" s="134"/>
      <c r="O76" s="134"/>
      <c r="P76" s="136"/>
      <c r="Q76" s="136"/>
      <c r="R76" s="136"/>
      <c r="S76" s="136"/>
      <c r="T76" s="136"/>
      <c r="U76" s="136"/>
      <c r="V76" s="136"/>
      <c r="W76" s="136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22"/>
      <c r="BC76" s="58"/>
      <c r="BD76" s="4"/>
    </row>
    <row r="77" spans="1:58" ht="12.75" hidden="1" customHeight="1" x14ac:dyDescent="0.2">
      <c r="A77" s="133"/>
      <c r="B77" s="133"/>
      <c r="C77" s="133"/>
      <c r="D77" s="134"/>
      <c r="E77" s="134"/>
      <c r="F77" s="134"/>
      <c r="G77" s="135"/>
      <c r="H77" s="134"/>
      <c r="I77" s="134"/>
      <c r="J77" s="134"/>
      <c r="K77" s="134"/>
      <c r="L77" s="134"/>
      <c r="M77" s="134"/>
      <c r="N77" s="134"/>
      <c r="O77" s="134"/>
      <c r="P77" s="138"/>
      <c r="Q77" s="138"/>
      <c r="R77" s="138"/>
      <c r="S77" s="138"/>
      <c r="T77" s="138"/>
      <c r="U77" s="138"/>
      <c r="V77" s="138"/>
      <c r="W77" s="138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22"/>
      <c r="BC77" s="58"/>
      <c r="BD77" s="4"/>
    </row>
    <row r="78" spans="1:58" ht="12.75" hidden="1" customHeight="1" x14ac:dyDescent="0.2">
      <c r="A78" s="133"/>
      <c r="B78" s="133"/>
      <c r="C78" s="139"/>
      <c r="D78" s="140"/>
      <c r="E78" s="140"/>
      <c r="F78" s="140"/>
      <c r="G78" s="141"/>
      <c r="H78" s="134"/>
      <c r="I78" s="134"/>
      <c r="J78" s="134"/>
      <c r="K78" s="134"/>
      <c r="L78" s="134"/>
      <c r="M78" s="134"/>
      <c r="N78" s="134"/>
      <c r="O78" s="134"/>
      <c r="P78" s="142"/>
      <c r="Q78" s="142"/>
      <c r="R78" s="142"/>
      <c r="S78" s="142"/>
      <c r="T78" s="142"/>
      <c r="U78" s="142"/>
      <c r="V78" s="142"/>
      <c r="W78" s="142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143"/>
      <c r="AU78" s="143"/>
      <c r="AV78" s="143"/>
      <c r="AW78" s="143"/>
      <c r="AX78" s="143"/>
      <c r="AY78" s="143"/>
      <c r="AZ78" s="143"/>
      <c r="BA78" s="143"/>
      <c r="BB78" s="22"/>
      <c r="BC78" s="58"/>
      <c r="BD78" s="4"/>
    </row>
    <row r="79" spans="1:58" ht="24.75" customHeight="1" x14ac:dyDescent="0.2">
      <c r="A79" s="325"/>
      <c r="B79" s="325"/>
      <c r="C79" s="4"/>
      <c r="D79" s="4"/>
      <c r="E79" s="4"/>
      <c r="F79" s="4"/>
      <c r="G79" s="144">
        <f>1296-O73</f>
        <v>0</v>
      </c>
      <c r="H79" s="326" t="s">
        <v>164</v>
      </c>
      <c r="I79" s="327" t="s">
        <v>165</v>
      </c>
      <c r="J79" s="327"/>
      <c r="K79" s="327"/>
      <c r="L79" s="327"/>
      <c r="M79" s="327"/>
      <c r="N79" s="145"/>
      <c r="O79" s="146"/>
      <c r="P79" s="147">
        <f>COUNT(P9:P22)</f>
        <v>14</v>
      </c>
      <c r="Q79" s="148"/>
      <c r="R79" s="148"/>
      <c r="S79" s="148"/>
      <c r="T79" s="149">
        <f>COUNT(T9:T22)</f>
        <v>13</v>
      </c>
      <c r="U79" s="148"/>
      <c r="V79" s="148"/>
      <c r="W79" s="150"/>
      <c r="X79" s="147">
        <f>COUNT(X24:X30)+COUNT(X34:X48)+COUNT(X51:X53)+COUNT(X58:X61)+COUNT(X66:X66)+COUNT(#REF!)</f>
        <v>12</v>
      </c>
      <c r="Y79" s="151"/>
      <c r="Z79" s="151"/>
      <c r="AA79" s="151"/>
      <c r="AB79" s="151"/>
      <c r="AC79" s="149">
        <f>COUNT(AC24:AC30)+COUNT(AC34:AC48)+COUNT(AC51:AC53)+COUNT(AC58:AC61)+COUNT(AC66:AC66)+COUNT(#REF!)</f>
        <v>14</v>
      </c>
      <c r="AD79" s="151"/>
      <c r="AE79" s="151"/>
      <c r="AF79" s="151"/>
      <c r="AG79" s="152"/>
      <c r="AH79" s="147">
        <f>COUNT(AH24:AH30)+COUNT(AH34:AH48)+COUNT(AH51:AH53)+COUNT(AH58:AH61)+COUNT(AH66:AH66)+COUNT(#REF!)</f>
        <v>8</v>
      </c>
      <c r="AI79" s="151"/>
      <c r="AJ79" s="151"/>
      <c r="AK79" s="151"/>
      <c r="AL79" s="151"/>
      <c r="AM79" s="149">
        <f>COUNT(AM24:AM30)+COUNT(AM34:AM48)+COUNT(AM51:AM53)+COUNT(AM58:AM61)+COUNT(AM66:AM66)+COUNT(#REF!)</f>
        <v>9</v>
      </c>
      <c r="AN79" s="151"/>
      <c r="AO79" s="151"/>
      <c r="AP79" s="151"/>
      <c r="AQ79" s="152"/>
      <c r="AR79" s="147">
        <f>COUNT(AR24:AR30)+COUNT(AR34:AR48)+COUNT(AR51:AR53)+COUNT(AR58:AR61)+COUNT(AR66:AR66)+COUNT(#REF!)</f>
        <v>3</v>
      </c>
      <c r="AS79" s="151"/>
      <c r="AT79" s="151"/>
      <c r="AU79" s="151"/>
      <c r="AV79" s="151"/>
      <c r="AW79" s="149">
        <f>COUNT(AW24:AW30)+COUNT(AW34:AW48)+COUNT(AW51:AW53)+COUNT(AW58:AW61)+COUNT(AW66:AW66)+COUNT(#REF!)</f>
        <v>2</v>
      </c>
      <c r="AX79" s="151"/>
      <c r="AY79" s="151"/>
      <c r="AZ79" s="151"/>
      <c r="BA79" s="152"/>
      <c r="BB79" s="22"/>
      <c r="BC79" s="58"/>
      <c r="BD79" s="4"/>
    </row>
    <row r="80" spans="1:58" ht="24.75" customHeight="1" x14ac:dyDescent="0.2">
      <c r="A80" s="325" t="s">
        <v>166</v>
      </c>
      <c r="B80" s="325"/>
      <c r="C80" s="4"/>
      <c r="D80" s="4"/>
      <c r="E80" s="4"/>
      <c r="F80" s="4"/>
      <c r="G80" s="4"/>
      <c r="H80" s="326"/>
      <c r="I80" s="327" t="s">
        <v>167</v>
      </c>
      <c r="J80" s="327"/>
      <c r="K80" s="327"/>
      <c r="L80" s="327"/>
      <c r="M80" s="327"/>
      <c r="N80" s="145"/>
      <c r="O80" s="146"/>
      <c r="P80" s="153">
        <f>COUNT(P54,P62,P67,#REF!)</f>
        <v>0</v>
      </c>
      <c r="Q80" s="154"/>
      <c r="R80" s="154"/>
      <c r="S80" s="154"/>
      <c r="T80" s="155">
        <f>COUNT(T54,T62,T67,#REF!)</f>
        <v>0</v>
      </c>
      <c r="U80" s="154"/>
      <c r="V80" s="154"/>
      <c r="W80" s="156"/>
      <c r="X80" s="153">
        <f>COUNT(X54,X62,X67,#REF!)</f>
        <v>0</v>
      </c>
      <c r="Y80" s="157"/>
      <c r="Z80" s="157"/>
      <c r="AA80" s="157"/>
      <c r="AB80" s="157"/>
      <c r="AC80" s="155">
        <f>COUNT(AC54,AC62,AC67,#REF!)</f>
        <v>0</v>
      </c>
      <c r="AD80" s="157"/>
      <c r="AE80" s="157"/>
      <c r="AF80" s="157"/>
      <c r="AG80" s="158"/>
      <c r="AH80" s="153">
        <f>COUNT(AH54,AH62,AH67,#REF!)</f>
        <v>0</v>
      </c>
      <c r="AI80" s="157"/>
      <c r="AJ80" s="157"/>
      <c r="AK80" s="157"/>
      <c r="AL80" s="157"/>
      <c r="AM80" s="155">
        <f>COUNT(AM54,AM62,AM67,#REF!)</f>
        <v>1</v>
      </c>
      <c r="AN80" s="157"/>
      <c r="AO80" s="157"/>
      <c r="AP80" s="157"/>
      <c r="AQ80" s="158"/>
      <c r="AR80" s="153">
        <f>COUNT(AR54,AR62,AR67,#REF!)</f>
        <v>1</v>
      </c>
      <c r="AS80" s="157"/>
      <c r="AT80" s="157"/>
      <c r="AU80" s="157"/>
      <c r="AV80" s="157"/>
      <c r="AW80" s="155">
        <f>COUNT(AW54,AW62,AW67,#REF!)</f>
        <v>1</v>
      </c>
      <c r="AX80" s="157"/>
      <c r="AY80" s="157"/>
      <c r="AZ80" s="157"/>
      <c r="BA80" s="158"/>
      <c r="BB80" s="22"/>
      <c r="BC80" s="58"/>
      <c r="BD80" s="4"/>
    </row>
    <row r="81" spans="1:58" ht="24.75" customHeight="1" x14ac:dyDescent="0.2">
      <c r="A81" s="328" t="s">
        <v>168</v>
      </c>
      <c r="B81" s="328"/>
      <c r="C81" s="4"/>
      <c r="D81" s="4"/>
      <c r="E81" s="4"/>
      <c r="F81" s="4"/>
      <c r="G81" s="4"/>
      <c r="H81" s="326"/>
      <c r="I81" s="327" t="s">
        <v>169</v>
      </c>
      <c r="J81" s="327"/>
      <c r="K81" s="327"/>
      <c r="L81" s="327"/>
      <c r="M81" s="327"/>
      <c r="N81" s="160"/>
      <c r="O81" s="161"/>
      <c r="P81" s="153">
        <f>COUNT(P55,P63,P68,#REF!)</f>
        <v>0</v>
      </c>
      <c r="Q81" s="154"/>
      <c r="R81" s="154"/>
      <c r="S81" s="154"/>
      <c r="T81" s="155">
        <f>COUNT(T55,T63,T68,#REF!)</f>
        <v>0</v>
      </c>
      <c r="U81" s="154"/>
      <c r="V81" s="154"/>
      <c r="W81" s="156"/>
      <c r="X81" s="153">
        <f>COUNT(X55,X63,X68,#REF!)</f>
        <v>0</v>
      </c>
      <c r="Y81" s="157"/>
      <c r="Z81" s="157"/>
      <c r="AA81" s="157"/>
      <c r="AB81" s="157"/>
      <c r="AC81" s="155">
        <f>COUNT(AC55,AC63,AC68,#REF!)</f>
        <v>0</v>
      </c>
      <c r="AD81" s="157"/>
      <c r="AE81" s="157"/>
      <c r="AF81" s="157"/>
      <c r="AG81" s="158"/>
      <c r="AH81" s="153">
        <f>COUNT(AH55,AH63,AH68,#REF!)</f>
        <v>0</v>
      </c>
      <c r="AI81" s="157"/>
      <c r="AJ81" s="157"/>
      <c r="AK81" s="157"/>
      <c r="AL81" s="157"/>
      <c r="AM81" s="155">
        <f>COUNT(AM55,AM63,AM68,#REF!)</f>
        <v>1</v>
      </c>
      <c r="AN81" s="157"/>
      <c r="AO81" s="157"/>
      <c r="AP81" s="157"/>
      <c r="AQ81" s="158"/>
      <c r="AR81" s="153">
        <f>COUNT(AR55,AR63,AR68,#REF!)</f>
        <v>1</v>
      </c>
      <c r="AS81" s="157"/>
      <c r="AT81" s="157"/>
      <c r="AU81" s="157"/>
      <c r="AV81" s="157"/>
      <c r="AW81" s="155">
        <f>COUNT(AW55,AW63,AW68,#REF!)</f>
        <v>1</v>
      </c>
      <c r="AX81" s="157"/>
      <c r="AY81" s="157"/>
      <c r="AZ81" s="157"/>
      <c r="BA81" s="158"/>
      <c r="BB81" s="22"/>
      <c r="BC81" s="58"/>
      <c r="BD81" s="4"/>
    </row>
    <row r="82" spans="1:58" ht="24.75" customHeight="1" x14ac:dyDescent="0.2">
      <c r="A82" s="328" t="s">
        <v>170</v>
      </c>
      <c r="B82" s="328"/>
      <c r="C82" s="4"/>
      <c r="D82" s="4"/>
      <c r="E82" s="4"/>
      <c r="F82" s="4"/>
      <c r="G82" s="4"/>
      <c r="H82" s="326"/>
      <c r="I82" s="327" t="s">
        <v>171</v>
      </c>
      <c r="J82" s="327"/>
      <c r="K82" s="327"/>
      <c r="L82" s="327"/>
      <c r="M82" s="327"/>
      <c r="N82" s="160"/>
      <c r="O82" s="161"/>
      <c r="P82" s="153">
        <f>COUNT(#REF!)</f>
        <v>0</v>
      </c>
      <c r="Q82" s="154"/>
      <c r="R82" s="154"/>
      <c r="S82" s="154"/>
      <c r="T82" s="155">
        <f>COUNT(#REF!)</f>
        <v>0</v>
      </c>
      <c r="U82" s="154"/>
      <c r="V82" s="154"/>
      <c r="W82" s="156"/>
      <c r="X82" s="153">
        <f>COUNT(#REF!)</f>
        <v>0</v>
      </c>
      <c r="Y82" s="157"/>
      <c r="Z82" s="157"/>
      <c r="AA82" s="157"/>
      <c r="AB82" s="157"/>
      <c r="AC82" s="155">
        <f>COUNT(#REF!)</f>
        <v>0</v>
      </c>
      <c r="AD82" s="157"/>
      <c r="AE82" s="157"/>
      <c r="AF82" s="157"/>
      <c r="AG82" s="158"/>
      <c r="AH82" s="153">
        <f>COUNT(#REF!)</f>
        <v>0</v>
      </c>
      <c r="AI82" s="157"/>
      <c r="AJ82" s="157"/>
      <c r="AK82" s="157"/>
      <c r="AL82" s="157"/>
      <c r="AM82" s="155">
        <f>COUNT(#REF!)</f>
        <v>0</v>
      </c>
      <c r="AN82" s="157"/>
      <c r="AO82" s="157"/>
      <c r="AP82" s="157"/>
      <c r="AQ82" s="158"/>
      <c r="AR82" s="153">
        <f>COUNT(#REF!)</f>
        <v>0</v>
      </c>
      <c r="AS82" s="157"/>
      <c r="AT82" s="157"/>
      <c r="AU82" s="157"/>
      <c r="AV82" s="157"/>
      <c r="AW82" s="155">
        <f>COUNT(#REF!)</f>
        <v>0</v>
      </c>
      <c r="AX82" s="157"/>
      <c r="AY82" s="157"/>
      <c r="AZ82" s="157"/>
      <c r="BA82" s="158"/>
      <c r="BB82" s="22"/>
      <c r="BC82" s="58"/>
      <c r="BD82" s="4"/>
    </row>
    <row r="83" spans="1:58" ht="24.75" customHeight="1" x14ac:dyDescent="0.2">
      <c r="A83" s="328" t="s">
        <v>172</v>
      </c>
      <c r="B83" s="328"/>
      <c r="C83" s="4"/>
      <c r="D83" s="4"/>
      <c r="E83" s="4"/>
      <c r="F83" s="4"/>
      <c r="G83" s="4"/>
      <c r="H83" s="326"/>
      <c r="I83" s="327" t="s">
        <v>173</v>
      </c>
      <c r="J83" s="327"/>
      <c r="K83" s="327"/>
      <c r="L83" s="327"/>
      <c r="M83" s="327"/>
      <c r="N83" s="145"/>
      <c r="O83" s="146"/>
      <c r="P83" s="153">
        <f>COUNTIF($F$9:$F$22,1.2)+COUNTIF($F$9:$F$22,1)</f>
        <v>3</v>
      </c>
      <c r="Q83" s="154"/>
      <c r="R83" s="154"/>
      <c r="S83" s="154"/>
      <c r="T83" s="155">
        <f>COUNTIF($F$9:$F$22,1.2)+COUNTIF($F$9:$F$22,2)</f>
        <v>3</v>
      </c>
      <c r="U83" s="154"/>
      <c r="V83" s="154"/>
      <c r="W83" s="156"/>
      <c r="X83" s="153">
        <f>COUNTIF($F$51:$F$53,3)+COUNTIF($F$24:$F$30,3)+COUNTIF($F$66:$F$66,3)+COUNTIF($F$34:$F$48,3)+COUNTIF($F$58:$F$61,3)</f>
        <v>2</v>
      </c>
      <c r="Y83" s="157"/>
      <c r="Z83" s="157"/>
      <c r="AA83" s="157"/>
      <c r="AB83" s="157"/>
      <c r="AC83" s="155">
        <f>COUNTIF($F$51:$F$53,4)+COUNTIF($F$24:$F$30,4)+COUNTIF($F$66:$F$66,4)+COUNTIF($F$34:$F$48,4)+COUNTIF($F$58:$F$61,4)</f>
        <v>6</v>
      </c>
      <c r="AD83" s="157"/>
      <c r="AE83" s="157"/>
      <c r="AF83" s="157"/>
      <c r="AG83" s="158"/>
      <c r="AH83" s="153">
        <f>COUNTIF($F$51:$F$53,5)+COUNTIF($F$24:$F$30,5)+COUNTIF($F$66:$F$66,5)+COUNTIF($F$34:$F$48,5)+COUNTIF($F$58:$F$61,5)</f>
        <v>1</v>
      </c>
      <c r="AI83" s="157"/>
      <c r="AJ83" s="157"/>
      <c r="AK83" s="157"/>
      <c r="AL83" s="157"/>
      <c r="AM83" s="155">
        <f>COUNTIF($F$51:$F$56,6)+COUNTIF($F$24:$F$30,6)+COUNTIF($F$66:$F$69,6)+COUNTIF($F$34:$F$48,6)+COUNTIF($F$58:$F$64,6)</f>
        <v>6</v>
      </c>
      <c r="AN83" s="157"/>
      <c r="AO83" s="157"/>
      <c r="AP83" s="157"/>
      <c r="AQ83" s="158"/>
      <c r="AR83" s="153">
        <f>COUNTIF($F$51:$F$56,7)+COUNTIF($F$24:$F$30,7)+COUNTIF($F$66:$F$69,7)+COUNTIF($F$34:$F$48,7)+COUNTIF($F$58:$F$64,7)</f>
        <v>1</v>
      </c>
      <c r="AS83" s="157"/>
      <c r="AT83" s="157"/>
      <c r="AU83" s="157"/>
      <c r="AV83" s="157"/>
      <c r="AW83" s="155">
        <f>COUNTIF($F$51:$F$56,8)+COUNTIF($F$24:$F$30,8)+COUNTIF($F$66:$F$69,8)+COUNTIF($F$34:$F$48,8)+COUNTIF($F$58:$F$64,8)</f>
        <v>3</v>
      </c>
      <c r="AX83" s="157"/>
      <c r="AY83" s="157"/>
      <c r="AZ83" s="157"/>
      <c r="BA83" s="158"/>
      <c r="BB83" s="22"/>
      <c r="BC83" s="58"/>
      <c r="BD83" s="4"/>
    </row>
    <row r="84" spans="1:58" ht="24.75" customHeight="1" x14ac:dyDescent="0.2">
      <c r="A84" s="328"/>
      <c r="B84" s="328"/>
      <c r="C84" s="4"/>
      <c r="D84" s="4"/>
      <c r="E84" s="4"/>
      <c r="F84" s="4"/>
      <c r="G84" s="4"/>
      <c r="H84" s="326"/>
      <c r="I84" s="327" t="s">
        <v>174</v>
      </c>
      <c r="J84" s="327"/>
      <c r="K84" s="327"/>
      <c r="L84" s="327"/>
      <c r="M84" s="327"/>
      <c r="N84" s="145"/>
      <c r="O84" s="146"/>
      <c r="P84" s="153">
        <f>COUNTIF($E$9:$E$22,1.2)+COUNTIF($E$9:$E$22,1)</f>
        <v>1</v>
      </c>
      <c r="Q84" s="154"/>
      <c r="R84" s="154"/>
      <c r="S84" s="154"/>
      <c r="T84" s="155">
        <f>COUNTIF($E$9:$E$22,1.2)+COUNTIF($E$9:$E$22,2)</f>
        <v>9</v>
      </c>
      <c r="U84" s="154"/>
      <c r="V84" s="154"/>
      <c r="W84" s="156"/>
      <c r="X84" s="153">
        <f>COUNTIF($E$51:$E$53,3)+COUNTIF($E$24:$E$32,3)+COUNTIF($E$66:$E$66,3)+COUNTIF($E$34:$E$48,3)+COUNTIF($E$58:$E$61,3)</f>
        <v>3</v>
      </c>
      <c r="Y84" s="157"/>
      <c r="Z84" s="157"/>
      <c r="AA84" s="157"/>
      <c r="AB84" s="157"/>
      <c r="AC84" s="155">
        <f>COUNTIF($E$51:$E$53,4)+COUNTIF($E$24:$E$32,4)+COUNTIF($E$66:$E$66,4)+COUNTIF($E$34:$E$48,4)+COUNTIF($E$58:$E$61,4)</f>
        <v>6</v>
      </c>
      <c r="AD84" s="157"/>
      <c r="AE84" s="157"/>
      <c r="AF84" s="157"/>
      <c r="AG84" s="158"/>
      <c r="AH84" s="153">
        <f>COUNTIF($E$51:$E$56,5)+COUNTIF($E$24:$E$32,5)+COUNTIF($E$66:$E$69,5)+COUNTIF($E$34:$E$48,5)+COUNTIF($E$58:$E$64,5)</f>
        <v>2</v>
      </c>
      <c r="AI84" s="157"/>
      <c r="AJ84" s="157"/>
      <c r="AK84" s="157"/>
      <c r="AL84" s="157"/>
      <c r="AM84" s="155">
        <f>COUNTIF($E$51:$E$56,6)+COUNTIF($E$24:$E$32,6)+COUNTIF($E$66:$E$69,6)+COUNTIF($E$34:$E$48,6)+COUNTIF($E$58:$E$64,6)</f>
        <v>8</v>
      </c>
      <c r="AN84" s="157"/>
      <c r="AO84" s="157"/>
      <c r="AP84" s="157"/>
      <c r="AQ84" s="158"/>
      <c r="AR84" s="153">
        <f>COUNTIF($E$51:$E$56,7)+COUNTIF($E$24:$E$32,7)+COUNTIF($E$66:$E$69,7)+COUNTIF($E$34:$E$48,7)+COUNTIF($E$58:$E$64,7)</f>
        <v>4</v>
      </c>
      <c r="AS84" s="157"/>
      <c r="AT84" s="157"/>
      <c r="AU84" s="157"/>
      <c r="AV84" s="157"/>
      <c r="AW84" s="155">
        <f>COUNTIF($E$51:$E$56,8)+COUNTIF($E$24:$E$32,8)+COUNTIF($E$66:$E$70,8)+COUNTIF($E$34:$E$48,8)+COUNTIF($E$58:$E$64,8)</f>
        <v>3</v>
      </c>
      <c r="AX84" s="157"/>
      <c r="AY84" s="157"/>
      <c r="AZ84" s="157"/>
      <c r="BA84" s="158"/>
      <c r="BB84" s="22"/>
      <c r="BC84" s="58"/>
      <c r="BD84" s="4"/>
    </row>
    <row r="85" spans="1:58" ht="24.75" customHeight="1" x14ac:dyDescent="0.2">
      <c r="A85" s="328"/>
      <c r="B85" s="328"/>
      <c r="C85" s="4"/>
      <c r="D85" s="4"/>
      <c r="E85" s="4"/>
      <c r="F85" s="4"/>
      <c r="G85" s="4"/>
      <c r="H85" s="326"/>
      <c r="I85" s="327" t="s">
        <v>175</v>
      </c>
      <c r="J85" s="327"/>
      <c r="K85" s="327"/>
      <c r="L85" s="327"/>
      <c r="M85" s="327"/>
      <c r="N85" s="145"/>
      <c r="O85" s="146"/>
      <c r="P85" s="162">
        <f>COUNTIF($D$9:$D$22,1.2)+COUNTIF($D$9:$D$22,1)</f>
        <v>1</v>
      </c>
      <c r="Q85" s="163"/>
      <c r="R85" s="163"/>
      <c r="S85" s="163"/>
      <c r="T85" s="164">
        <f>COUNTIF($D$9:$D$22,1.2)+COUNTIF($D$9:$D$22,2)</f>
        <v>1</v>
      </c>
      <c r="U85" s="163"/>
      <c r="V85" s="163"/>
      <c r="W85" s="165"/>
      <c r="X85" s="162">
        <v>1</v>
      </c>
      <c r="Y85" s="166"/>
      <c r="Z85" s="166"/>
      <c r="AA85" s="166"/>
      <c r="AB85" s="166"/>
      <c r="AC85" s="164">
        <v>2</v>
      </c>
      <c r="AD85" s="166"/>
      <c r="AE85" s="166"/>
      <c r="AF85" s="166"/>
      <c r="AG85" s="167"/>
      <c r="AH85" s="162">
        <v>1</v>
      </c>
      <c r="AI85" s="166"/>
      <c r="AJ85" s="166"/>
      <c r="AK85" s="166"/>
      <c r="AL85" s="166"/>
      <c r="AM85" s="164">
        <v>0</v>
      </c>
      <c r="AN85" s="166"/>
      <c r="AO85" s="166"/>
      <c r="AP85" s="166"/>
      <c r="AQ85" s="167"/>
      <c r="AR85" s="162">
        <f>COUNTIF($D$24:$D$30,7)+COUNTIF($D$34:$D$44,7)</f>
        <v>0</v>
      </c>
      <c r="AS85" s="166"/>
      <c r="AT85" s="166"/>
      <c r="AU85" s="166"/>
      <c r="AV85" s="166"/>
      <c r="AW85" s="164">
        <f>COUNTIF($D$24:$D$30,8)+COUNTIF($D$34:$D$44,8)</f>
        <v>0</v>
      </c>
      <c r="AX85" s="166"/>
      <c r="AY85" s="166"/>
      <c r="AZ85" s="166"/>
      <c r="BA85" s="167"/>
      <c r="BB85" s="22"/>
      <c r="BC85" s="58"/>
      <c r="BD85" s="4"/>
    </row>
    <row r="86" spans="1:58" ht="30.75" customHeight="1" x14ac:dyDescent="0.2">
      <c r="A86" s="328"/>
      <c r="B86" s="328"/>
      <c r="C86" s="4"/>
      <c r="D86" s="4"/>
      <c r="E86" s="4"/>
      <c r="F86" s="4"/>
      <c r="G86" s="4"/>
      <c r="H86" s="168"/>
      <c r="I86" s="68"/>
      <c r="J86" s="68"/>
      <c r="K86" s="68"/>
      <c r="L86" s="68"/>
      <c r="M86" s="169"/>
      <c r="N86" s="169"/>
      <c r="O86" s="169"/>
      <c r="P86" s="170"/>
      <c r="Q86" s="170"/>
      <c r="R86" s="170"/>
      <c r="S86" s="170"/>
      <c r="T86" s="170"/>
      <c r="U86" s="170"/>
      <c r="V86" s="170"/>
      <c r="W86" s="170"/>
      <c r="X86" s="171"/>
      <c r="Y86" s="171"/>
      <c r="Z86" s="171"/>
      <c r="AA86" s="171"/>
      <c r="AB86" s="171"/>
      <c r="AC86" s="171"/>
      <c r="AD86" s="171"/>
      <c r="AE86" s="171"/>
      <c r="AF86" s="171"/>
      <c r="AG86" s="171"/>
      <c r="AH86" s="171"/>
      <c r="AI86" s="171"/>
      <c r="AJ86" s="171"/>
      <c r="AK86" s="171"/>
      <c r="AL86" s="171"/>
      <c r="AM86" s="171"/>
      <c r="AN86" s="171"/>
      <c r="AO86" s="171"/>
      <c r="AP86" s="171"/>
      <c r="AQ86" s="171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58"/>
      <c r="BD86" s="4"/>
      <c r="BF86" s="69"/>
    </row>
    <row r="87" spans="1:58" ht="15.75" customHeight="1" x14ac:dyDescent="0.2">
      <c r="A87" s="328"/>
      <c r="B87" s="328"/>
      <c r="C87" s="4"/>
      <c r="D87" s="4"/>
      <c r="E87" s="4"/>
      <c r="F87" s="4"/>
      <c r="G87" s="4"/>
      <c r="H87" s="68"/>
      <c r="I87" s="68"/>
      <c r="J87" s="68"/>
      <c r="K87" s="68"/>
      <c r="L87" s="68"/>
      <c r="M87" s="68"/>
      <c r="N87" s="68"/>
      <c r="O87" s="68"/>
      <c r="P87" s="172">
        <f>P74/P7</f>
        <v>36</v>
      </c>
      <c r="Q87" s="173"/>
      <c r="R87" s="173"/>
      <c r="S87" s="173"/>
      <c r="T87" s="173">
        <f>T74/T7</f>
        <v>36</v>
      </c>
      <c r="U87" s="173"/>
      <c r="V87" s="173"/>
      <c r="W87" s="174"/>
      <c r="X87" s="172">
        <f>X74/X7</f>
        <v>36</v>
      </c>
      <c r="Y87" s="173"/>
      <c r="Z87" s="173"/>
      <c r="AA87" s="173"/>
      <c r="AB87" s="173"/>
      <c r="AC87" s="173">
        <f>AC74/AC7</f>
        <v>36</v>
      </c>
      <c r="AD87" s="173"/>
      <c r="AE87" s="173"/>
      <c r="AF87" s="173"/>
      <c r="AG87" s="174"/>
      <c r="AH87" s="172">
        <f>AH74/AH7</f>
        <v>36</v>
      </c>
      <c r="AI87" s="173"/>
      <c r="AJ87" s="173"/>
      <c r="AK87" s="173"/>
      <c r="AL87" s="173"/>
      <c r="AM87" s="173">
        <f>AM74/AM7</f>
        <v>36</v>
      </c>
      <c r="AN87" s="173"/>
      <c r="AO87" s="173"/>
      <c r="AP87" s="173"/>
      <c r="AQ87" s="174"/>
      <c r="AR87" s="172">
        <f>AR74/AR7</f>
        <v>36</v>
      </c>
      <c r="AS87" s="173"/>
      <c r="AT87" s="173"/>
      <c r="AU87" s="173"/>
      <c r="AV87" s="173"/>
      <c r="AW87" s="173">
        <f>AW74/AW7</f>
        <v>36</v>
      </c>
      <c r="AX87" s="173"/>
      <c r="AY87" s="173"/>
      <c r="AZ87" s="173"/>
      <c r="BA87" s="174"/>
      <c r="BB87" s="22"/>
      <c r="BC87" s="58"/>
      <c r="BD87" s="4"/>
    </row>
    <row r="88" spans="1:58" ht="15.75" customHeight="1" x14ac:dyDescent="0.2">
      <c r="A88" s="159"/>
      <c r="B88" s="175"/>
      <c r="C88" s="4"/>
      <c r="D88" s="4"/>
      <c r="E88" s="4"/>
      <c r="F88" s="4"/>
      <c r="G88" s="4"/>
      <c r="H88" s="68"/>
      <c r="I88" s="68"/>
      <c r="J88" s="68"/>
      <c r="K88" s="68"/>
      <c r="L88" s="68"/>
      <c r="M88" s="68"/>
      <c r="N88" s="68"/>
      <c r="O88" s="68"/>
      <c r="P88" s="176">
        <f>P7*36</f>
        <v>612</v>
      </c>
      <c r="Q88" s="177"/>
      <c r="R88" s="177"/>
      <c r="S88" s="177"/>
      <c r="T88" s="177">
        <f>T7*36</f>
        <v>864</v>
      </c>
      <c r="U88" s="177"/>
      <c r="V88" s="177"/>
      <c r="W88" s="178"/>
      <c r="X88" s="176">
        <f>X7*36</f>
        <v>612</v>
      </c>
      <c r="Y88" s="177"/>
      <c r="Z88" s="177"/>
      <c r="AA88" s="177"/>
      <c r="AB88" s="177"/>
      <c r="AC88" s="177">
        <f>AC7*36</f>
        <v>882</v>
      </c>
      <c r="AD88" s="177"/>
      <c r="AE88" s="177"/>
      <c r="AF88" s="177"/>
      <c r="AG88" s="178"/>
      <c r="AH88" s="176">
        <f>AH7*36</f>
        <v>612</v>
      </c>
      <c r="AI88" s="177"/>
      <c r="AJ88" s="177"/>
      <c r="AK88" s="177"/>
      <c r="AL88" s="177"/>
      <c r="AM88" s="177">
        <f>AM7*36</f>
        <v>882</v>
      </c>
      <c r="AN88" s="177"/>
      <c r="AO88" s="177"/>
      <c r="AP88" s="177"/>
      <c r="AQ88" s="178"/>
      <c r="AR88" s="176">
        <f>AR7*36</f>
        <v>612</v>
      </c>
      <c r="AS88" s="177"/>
      <c r="AT88" s="177"/>
      <c r="AU88" s="177"/>
      <c r="AV88" s="177"/>
      <c r="AW88" s="177">
        <f>AW7*36</f>
        <v>648</v>
      </c>
      <c r="AX88" s="177"/>
      <c r="AY88" s="177"/>
      <c r="AZ88" s="177"/>
      <c r="BA88" s="178"/>
      <c r="BB88" s="22"/>
      <c r="BC88" s="58"/>
      <c r="BD88" s="4"/>
    </row>
    <row r="89" spans="1:58" ht="18" customHeight="1" x14ac:dyDescent="0.2">
      <c r="A89" s="329" t="s">
        <v>176</v>
      </c>
      <c r="B89" s="329"/>
      <c r="C89" s="4"/>
      <c r="D89" s="4"/>
      <c r="E89" s="4"/>
      <c r="F89" s="4"/>
      <c r="G89" s="4"/>
      <c r="H89" s="68"/>
      <c r="I89" s="68"/>
      <c r="J89" s="68"/>
      <c r="K89" s="68"/>
      <c r="L89" s="68"/>
      <c r="M89" s="68"/>
      <c r="N89" s="68"/>
      <c r="O89" s="68"/>
      <c r="P89" s="179">
        <f>P88-P74</f>
        <v>0</v>
      </c>
      <c r="Q89" s="180"/>
      <c r="R89" s="180"/>
      <c r="S89" s="180"/>
      <c r="T89" s="180">
        <f>T88-T74</f>
        <v>0</v>
      </c>
      <c r="U89" s="181"/>
      <c r="V89" s="181"/>
      <c r="W89" s="182"/>
      <c r="X89" s="183">
        <f>X88-X74</f>
        <v>0</v>
      </c>
      <c r="Y89" s="184"/>
      <c r="Z89" s="184"/>
      <c r="AA89" s="184"/>
      <c r="AB89" s="184"/>
      <c r="AC89" s="185">
        <f>AC88-AC74</f>
        <v>0</v>
      </c>
      <c r="AD89" s="184"/>
      <c r="AE89" s="184"/>
      <c r="AF89" s="184"/>
      <c r="AG89" s="186"/>
      <c r="AH89" s="183">
        <f>AH88-AH74</f>
        <v>0</v>
      </c>
      <c r="AI89" s="184"/>
      <c r="AJ89" s="184"/>
      <c r="AK89" s="184"/>
      <c r="AL89" s="184"/>
      <c r="AM89" s="185">
        <f>AM88-AM74</f>
        <v>0</v>
      </c>
      <c r="AN89" s="184"/>
      <c r="AO89" s="184"/>
      <c r="AP89" s="184"/>
      <c r="AQ89" s="186"/>
      <c r="AR89" s="183">
        <f>AR88-AR74</f>
        <v>0</v>
      </c>
      <c r="AS89" s="184"/>
      <c r="AT89" s="184"/>
      <c r="AU89" s="184"/>
      <c r="AV89" s="184"/>
      <c r="AW89" s="185">
        <f>AW88-AW74</f>
        <v>0</v>
      </c>
      <c r="AX89" s="184"/>
      <c r="AY89" s="184"/>
      <c r="AZ89" s="184"/>
      <c r="BA89" s="186"/>
      <c r="BB89" s="22"/>
      <c r="BC89" s="58"/>
      <c r="BD89" s="4"/>
    </row>
    <row r="90" spans="1:58" ht="18" customHeight="1" x14ac:dyDescent="0.2">
      <c r="A90" s="58"/>
      <c r="B90" s="58"/>
      <c r="C90" s="4"/>
      <c r="D90" s="4"/>
      <c r="E90" s="4"/>
      <c r="F90" s="4"/>
      <c r="G90" s="4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4"/>
    </row>
    <row r="91" spans="1:58" ht="16.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</row>
    <row r="92" spans="1:58" ht="1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</row>
    <row r="93" spans="1:58" ht="1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</row>
    <row r="94" spans="1:58" ht="1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</row>
    <row r="95" spans="1:58" ht="1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</row>
    <row r="96" spans="1:58" ht="18" customHeight="1" x14ac:dyDescent="0.2">
      <c r="A96"/>
      <c r="B96"/>
      <c r="G96"/>
    </row>
    <row r="97" spans="1:54" ht="18" customHeight="1" x14ac:dyDescent="0.2">
      <c r="A97"/>
      <c r="B97"/>
      <c r="G97"/>
    </row>
    <row r="98" spans="1:54" ht="14.25" customHeight="1" x14ac:dyDescent="0.2">
      <c r="A98"/>
      <c r="B98"/>
      <c r="G98"/>
    </row>
    <row r="99" spans="1:54" ht="62.25" customHeight="1" x14ac:dyDescent="0.2">
      <c r="A99"/>
      <c r="B99"/>
      <c r="G99"/>
    </row>
    <row r="100" spans="1:54" ht="31.5" customHeight="1" x14ac:dyDescent="0.2">
      <c r="A100"/>
      <c r="B100"/>
      <c r="G100"/>
    </row>
    <row r="101" spans="1:54" ht="18.75" customHeight="1" x14ac:dyDescent="0.2">
      <c r="A101"/>
      <c r="B101"/>
      <c r="G101"/>
    </row>
    <row r="102" spans="1:54" ht="17.25" customHeight="1" x14ac:dyDescent="0.2">
      <c r="A102"/>
      <c r="B102"/>
      <c r="G102"/>
    </row>
    <row r="103" spans="1:54" ht="30.75" customHeight="1" x14ac:dyDescent="0.2">
      <c r="A103"/>
      <c r="B103"/>
      <c r="G103"/>
    </row>
    <row r="104" spans="1:54" ht="15" customHeight="1" x14ac:dyDescent="0.2">
      <c r="A104"/>
      <c r="B104"/>
      <c r="G104"/>
    </row>
    <row r="105" spans="1:54" ht="12" customHeight="1" x14ac:dyDescent="0.2">
      <c r="A105"/>
      <c r="B105"/>
      <c r="G105"/>
    </row>
    <row r="106" spans="1:54" ht="13.5" customHeight="1" x14ac:dyDescent="0.2">
      <c r="A106" s="187"/>
      <c r="B106" s="187"/>
      <c r="C106" s="187"/>
      <c r="D106" s="188"/>
      <c r="E106" s="188"/>
      <c r="F106" s="188"/>
      <c r="G106" s="189"/>
      <c r="H106" s="188"/>
      <c r="I106" s="188"/>
      <c r="J106" s="188"/>
      <c r="K106" s="188"/>
      <c r="L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88"/>
      <c r="AR106" s="188"/>
      <c r="AS106" s="188"/>
      <c r="AT106" s="188"/>
      <c r="AU106" s="188"/>
      <c r="AV106" s="188"/>
      <c r="AW106" s="188"/>
      <c r="AX106" s="188"/>
      <c r="AY106" s="188"/>
      <c r="AZ106" s="188"/>
      <c r="BA106" s="188"/>
      <c r="BB106" s="190"/>
    </row>
    <row r="107" spans="1:54" x14ac:dyDescent="0.2">
      <c r="A107" s="187"/>
      <c r="B107" s="187"/>
      <c r="C107" s="187"/>
      <c r="D107" s="188"/>
      <c r="E107" s="188"/>
      <c r="F107" s="188"/>
      <c r="G107" s="189"/>
      <c r="H107" s="188"/>
      <c r="I107" s="188"/>
      <c r="J107" s="188"/>
      <c r="K107" s="188"/>
      <c r="L107" s="188"/>
      <c r="Y107" s="188"/>
      <c r="Z107" s="188"/>
      <c r="AA107" s="188"/>
      <c r="AB107" s="188"/>
      <c r="AC107" s="188"/>
      <c r="AD107" s="188"/>
      <c r="AE107" s="188"/>
      <c r="AF107" s="188"/>
      <c r="AG107" s="188"/>
      <c r="AH107" s="188"/>
      <c r="AI107" s="188"/>
      <c r="AJ107" s="188"/>
      <c r="AK107" s="188"/>
      <c r="AL107" s="188"/>
      <c r="AM107" s="188"/>
      <c r="AN107" s="188"/>
      <c r="AO107" s="188"/>
      <c r="AP107" s="188"/>
      <c r="AQ107" s="188"/>
      <c r="AR107" s="188"/>
      <c r="AS107" s="188"/>
      <c r="AT107" s="188"/>
      <c r="AU107" s="188"/>
      <c r="AV107" s="188"/>
      <c r="AW107" s="188"/>
      <c r="AX107" s="188"/>
      <c r="AY107" s="188"/>
      <c r="AZ107" s="188"/>
      <c r="BA107" s="188"/>
    </row>
    <row r="108" spans="1:54" x14ac:dyDescent="0.2">
      <c r="A108" s="187"/>
      <c r="B108" s="187"/>
      <c r="C108" s="187"/>
      <c r="D108" s="188"/>
      <c r="E108" s="188"/>
      <c r="F108" s="188"/>
      <c r="G108" s="189"/>
      <c r="H108" s="188"/>
      <c r="I108" s="188"/>
      <c r="J108" s="188"/>
      <c r="K108" s="188"/>
      <c r="L108" s="188"/>
      <c r="Y108" s="188"/>
      <c r="Z108" s="188"/>
      <c r="AA108" s="188"/>
      <c r="AB108" s="188"/>
      <c r="AC108" s="188"/>
      <c r="AD108" s="188"/>
      <c r="AE108" s="188"/>
      <c r="AF108" s="188"/>
      <c r="AG108" s="188"/>
      <c r="AH108" s="188"/>
      <c r="AI108" s="188"/>
      <c r="AJ108" s="188"/>
      <c r="AK108" s="188"/>
      <c r="AL108" s="188"/>
      <c r="AM108" s="188"/>
      <c r="AN108" s="188"/>
      <c r="AO108" s="188"/>
      <c r="AP108" s="188"/>
      <c r="AQ108" s="188"/>
      <c r="AR108" s="188"/>
      <c r="AS108" s="188"/>
      <c r="AT108" s="188"/>
      <c r="AU108" s="188"/>
      <c r="AV108" s="188"/>
      <c r="AW108" s="188"/>
      <c r="AX108" s="188"/>
      <c r="AY108" s="188"/>
      <c r="AZ108" s="188"/>
      <c r="BA108" s="188"/>
    </row>
    <row r="109" spans="1:54" x14ac:dyDescent="0.2">
      <c r="A109" s="187"/>
      <c r="B109" s="187"/>
      <c r="C109" s="187"/>
      <c r="D109" s="188"/>
      <c r="E109" s="188"/>
      <c r="F109" s="188"/>
      <c r="G109" s="189"/>
      <c r="H109" s="188"/>
      <c r="I109" s="188"/>
      <c r="J109" s="188"/>
      <c r="K109" s="188"/>
      <c r="L109" s="188"/>
      <c r="Y109" s="188"/>
      <c r="Z109" s="188"/>
      <c r="AA109" s="188"/>
      <c r="AB109" s="188"/>
      <c r="AC109" s="188"/>
      <c r="AD109" s="188"/>
      <c r="AE109" s="188"/>
      <c r="AF109" s="188"/>
      <c r="AG109" s="188"/>
      <c r="AH109" s="188"/>
      <c r="AI109" s="188"/>
      <c r="AJ109" s="188"/>
      <c r="AK109" s="188"/>
      <c r="AL109" s="188"/>
      <c r="AM109" s="188"/>
      <c r="AN109" s="188"/>
      <c r="AO109" s="188"/>
      <c r="AP109" s="188"/>
      <c r="AQ109" s="188"/>
      <c r="AR109" s="188"/>
      <c r="AS109" s="188"/>
      <c r="AT109" s="188"/>
      <c r="AU109" s="188"/>
      <c r="AV109" s="188"/>
      <c r="AW109" s="188"/>
      <c r="AX109" s="188"/>
      <c r="AY109" s="188"/>
      <c r="AZ109" s="188"/>
      <c r="BA109" s="188"/>
    </row>
    <row r="110" spans="1:54" x14ac:dyDescent="0.2">
      <c r="A110" s="187"/>
      <c r="B110" s="187"/>
      <c r="C110" s="187"/>
      <c r="D110" s="188"/>
      <c r="Y110" s="188"/>
      <c r="Z110" s="188"/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  <c r="AK110" s="188"/>
      <c r="AL110" s="188"/>
      <c r="AM110" s="188"/>
      <c r="AN110" s="188"/>
      <c r="AO110" s="188"/>
      <c r="AP110" s="188"/>
      <c r="AQ110" s="188"/>
      <c r="AR110" s="188"/>
      <c r="AS110" s="188"/>
      <c r="AT110" s="188"/>
      <c r="AU110" s="188"/>
      <c r="AV110" s="188"/>
      <c r="AW110" s="188"/>
      <c r="AX110" s="188"/>
      <c r="AY110" s="188"/>
      <c r="AZ110" s="188"/>
      <c r="BA110" s="188"/>
    </row>
    <row r="111" spans="1:54" x14ac:dyDescent="0.2">
      <c r="A111" s="187"/>
      <c r="B111" s="187"/>
      <c r="C111" s="187"/>
      <c r="D111" s="188"/>
      <c r="Y111" s="188"/>
      <c r="Z111" s="188"/>
      <c r="AA111" s="188"/>
      <c r="AB111" s="188"/>
      <c r="AC111" s="188"/>
      <c r="AD111" s="188"/>
      <c r="AE111" s="188"/>
      <c r="AF111" s="188"/>
      <c r="AG111" s="188"/>
      <c r="AH111" s="188"/>
      <c r="AI111" s="188"/>
      <c r="AJ111" s="188"/>
      <c r="AK111" s="188"/>
      <c r="AL111" s="188"/>
      <c r="AM111" s="188"/>
      <c r="AN111" s="188"/>
      <c r="AO111" s="188"/>
      <c r="AP111" s="188"/>
      <c r="AQ111" s="188"/>
      <c r="AR111" s="188"/>
      <c r="AS111" s="188"/>
      <c r="AT111" s="188"/>
      <c r="AU111" s="188"/>
      <c r="AV111" s="188"/>
      <c r="AW111" s="188"/>
      <c r="AX111" s="188"/>
      <c r="AY111" s="188"/>
      <c r="AZ111" s="188"/>
      <c r="BA111" s="188"/>
    </row>
    <row r="112" spans="1:54" x14ac:dyDescent="0.2">
      <c r="C112" s="20"/>
    </row>
    <row r="113" spans="3:3" x14ac:dyDescent="0.2">
      <c r="C113" s="20"/>
    </row>
    <row r="114" spans="3:3" x14ac:dyDescent="0.2">
      <c r="C114" s="20"/>
    </row>
    <row r="115" spans="3:3" x14ac:dyDescent="0.2">
      <c r="C115" s="20"/>
    </row>
    <row r="116" spans="3:3" x14ac:dyDescent="0.2">
      <c r="C116" s="20"/>
    </row>
    <row r="117" spans="3:3" x14ac:dyDescent="0.2">
      <c r="C117" s="20"/>
    </row>
    <row r="118" spans="3:3" x14ac:dyDescent="0.2">
      <c r="C118" s="20"/>
    </row>
    <row r="119" spans="3:3" x14ac:dyDescent="0.2">
      <c r="C119" s="20"/>
    </row>
    <row r="120" spans="3:3" x14ac:dyDescent="0.2">
      <c r="C120" s="20"/>
    </row>
    <row r="121" spans="3:3" x14ac:dyDescent="0.2">
      <c r="C121" s="20"/>
    </row>
    <row r="122" spans="3:3" x14ac:dyDescent="0.2">
      <c r="C122" s="20"/>
    </row>
    <row r="123" spans="3:3" x14ac:dyDescent="0.2">
      <c r="C123" s="20"/>
    </row>
    <row r="124" spans="3:3" x14ac:dyDescent="0.2">
      <c r="C124" s="20"/>
    </row>
    <row r="125" spans="3:3" x14ac:dyDescent="0.2">
      <c r="C125" s="20"/>
    </row>
    <row r="126" spans="3:3" x14ac:dyDescent="0.2">
      <c r="C126" s="20"/>
    </row>
    <row r="127" spans="3:3" x14ac:dyDescent="0.2">
      <c r="C127" s="20"/>
    </row>
    <row r="128" spans="3:3" x14ac:dyDescent="0.2">
      <c r="C128" s="20"/>
    </row>
    <row r="129" spans="3:3" x14ac:dyDescent="0.2">
      <c r="C129" s="20"/>
    </row>
    <row r="130" spans="3:3" x14ac:dyDescent="0.2">
      <c r="C130" s="20"/>
    </row>
    <row r="131" spans="3:3" x14ac:dyDescent="0.2">
      <c r="C131" s="20"/>
    </row>
    <row r="132" spans="3:3" x14ac:dyDescent="0.2">
      <c r="C132" s="20"/>
    </row>
    <row r="133" spans="3:3" x14ac:dyDescent="0.2">
      <c r="C133" s="20"/>
    </row>
    <row r="134" spans="3:3" x14ac:dyDescent="0.2">
      <c r="C134" s="20"/>
    </row>
    <row r="135" spans="3:3" x14ac:dyDescent="0.2">
      <c r="C135" s="20"/>
    </row>
    <row r="136" spans="3:3" x14ac:dyDescent="0.2">
      <c r="C136" s="20"/>
    </row>
    <row r="137" spans="3:3" x14ac:dyDescent="0.2">
      <c r="C137" s="20"/>
    </row>
    <row r="138" spans="3:3" x14ac:dyDescent="0.2">
      <c r="C138" s="20"/>
    </row>
    <row r="139" spans="3:3" x14ac:dyDescent="0.2">
      <c r="C139" s="20"/>
    </row>
    <row r="140" spans="3:3" x14ac:dyDescent="0.2">
      <c r="C140" s="20"/>
    </row>
    <row r="141" spans="3:3" x14ac:dyDescent="0.2">
      <c r="C141" s="20"/>
    </row>
    <row r="142" spans="3:3" x14ac:dyDescent="0.2">
      <c r="C142" s="20"/>
    </row>
    <row r="143" spans="3:3" x14ac:dyDescent="0.2">
      <c r="C143" s="20"/>
    </row>
    <row r="144" spans="3:3" x14ac:dyDescent="0.2">
      <c r="C144" s="20"/>
    </row>
    <row r="145" spans="3:3" x14ac:dyDescent="0.2">
      <c r="C145" s="20"/>
    </row>
    <row r="146" spans="3:3" x14ac:dyDescent="0.2">
      <c r="C146" s="20"/>
    </row>
    <row r="147" spans="3:3" x14ac:dyDescent="0.2">
      <c r="C147" s="20"/>
    </row>
    <row r="148" spans="3:3" x14ac:dyDescent="0.2">
      <c r="C148" s="20"/>
    </row>
    <row r="149" spans="3:3" x14ac:dyDescent="0.2">
      <c r="C149" s="20"/>
    </row>
    <row r="150" spans="3:3" x14ac:dyDescent="0.2">
      <c r="C150" s="20"/>
    </row>
    <row r="151" spans="3:3" x14ac:dyDescent="0.2">
      <c r="C151" s="20"/>
    </row>
    <row r="152" spans="3:3" x14ac:dyDescent="0.2">
      <c r="C152" s="20"/>
    </row>
    <row r="153" spans="3:3" x14ac:dyDescent="0.2">
      <c r="C153" s="20"/>
    </row>
    <row r="154" spans="3:3" x14ac:dyDescent="0.2">
      <c r="C154" s="20"/>
    </row>
    <row r="155" spans="3:3" x14ac:dyDescent="0.2">
      <c r="C155" s="20"/>
    </row>
    <row r="156" spans="3:3" x14ac:dyDescent="0.2">
      <c r="C156" s="20"/>
    </row>
    <row r="157" spans="3:3" x14ac:dyDescent="0.2">
      <c r="C157" s="20"/>
    </row>
    <row r="158" spans="3:3" x14ac:dyDescent="0.2">
      <c r="C158" s="20"/>
    </row>
    <row r="159" spans="3:3" x14ac:dyDescent="0.2">
      <c r="C159" s="20"/>
    </row>
    <row r="160" spans="3:3" x14ac:dyDescent="0.2">
      <c r="C160" s="20"/>
    </row>
    <row r="161" spans="3:3" x14ac:dyDescent="0.2">
      <c r="C161" s="20"/>
    </row>
    <row r="162" spans="3:3" x14ac:dyDescent="0.2">
      <c r="C162" s="20"/>
    </row>
    <row r="163" spans="3:3" x14ac:dyDescent="0.2">
      <c r="C163" s="20"/>
    </row>
    <row r="164" spans="3:3" x14ac:dyDescent="0.2">
      <c r="C164" s="20"/>
    </row>
    <row r="165" spans="3:3" x14ac:dyDescent="0.2">
      <c r="C165" s="20"/>
    </row>
    <row r="166" spans="3:3" x14ac:dyDescent="0.2">
      <c r="C166" s="20"/>
    </row>
    <row r="167" spans="3:3" x14ac:dyDescent="0.2">
      <c r="C167" s="20"/>
    </row>
    <row r="168" spans="3:3" x14ac:dyDescent="0.2">
      <c r="C168" s="20"/>
    </row>
    <row r="169" spans="3:3" x14ac:dyDescent="0.2">
      <c r="C169" s="20"/>
    </row>
    <row r="170" spans="3:3" x14ac:dyDescent="0.2">
      <c r="C170" s="20"/>
    </row>
    <row r="171" spans="3:3" x14ac:dyDescent="0.2">
      <c r="C171" s="20"/>
    </row>
    <row r="172" spans="3:3" x14ac:dyDescent="0.2">
      <c r="C172" s="20"/>
    </row>
    <row r="173" spans="3:3" x14ac:dyDescent="0.2">
      <c r="C173" s="20"/>
    </row>
    <row r="174" spans="3:3" x14ac:dyDescent="0.2">
      <c r="C174" s="20"/>
    </row>
    <row r="175" spans="3:3" x14ac:dyDescent="0.2">
      <c r="C175" s="20"/>
    </row>
    <row r="176" spans="3:3" x14ac:dyDescent="0.2">
      <c r="C176" s="20"/>
    </row>
    <row r="177" spans="3:3" x14ac:dyDescent="0.2">
      <c r="C177" s="20"/>
    </row>
    <row r="178" spans="3:3" x14ac:dyDescent="0.2">
      <c r="C178" s="20"/>
    </row>
    <row r="179" spans="3:3" x14ac:dyDescent="0.2">
      <c r="C179" s="20"/>
    </row>
    <row r="180" spans="3:3" x14ac:dyDescent="0.2">
      <c r="C180" s="20"/>
    </row>
    <row r="181" spans="3:3" x14ac:dyDescent="0.2">
      <c r="C181" s="20"/>
    </row>
    <row r="182" spans="3:3" x14ac:dyDescent="0.2">
      <c r="C182" s="20"/>
    </row>
    <row r="183" spans="3:3" x14ac:dyDescent="0.2">
      <c r="C183" s="20"/>
    </row>
    <row r="184" spans="3:3" x14ac:dyDescent="0.2">
      <c r="C184" s="20"/>
    </row>
    <row r="185" spans="3:3" x14ac:dyDescent="0.2">
      <c r="C185" s="20"/>
    </row>
    <row r="186" spans="3:3" x14ac:dyDescent="0.2">
      <c r="C186" s="20"/>
    </row>
    <row r="187" spans="3:3" x14ac:dyDescent="0.2">
      <c r="C187" s="20"/>
    </row>
    <row r="188" spans="3:3" x14ac:dyDescent="0.2">
      <c r="C188" s="20"/>
    </row>
    <row r="189" spans="3:3" x14ac:dyDescent="0.2">
      <c r="C189" s="20"/>
    </row>
    <row r="190" spans="3:3" x14ac:dyDescent="0.2">
      <c r="C190" s="20"/>
    </row>
    <row r="191" spans="3:3" x14ac:dyDescent="0.2">
      <c r="C191" s="20"/>
    </row>
    <row r="192" spans="3:3" x14ac:dyDescent="0.2">
      <c r="C192" s="20"/>
    </row>
    <row r="193" spans="3:3" x14ac:dyDescent="0.2">
      <c r="C193" s="20"/>
    </row>
    <row r="194" spans="3:3" x14ac:dyDescent="0.2">
      <c r="C194" s="20"/>
    </row>
    <row r="195" spans="3:3" x14ac:dyDescent="0.2">
      <c r="C195" s="20"/>
    </row>
    <row r="196" spans="3:3" x14ac:dyDescent="0.2">
      <c r="C196" s="20"/>
    </row>
    <row r="197" spans="3:3" x14ac:dyDescent="0.2">
      <c r="C197" s="20"/>
    </row>
    <row r="198" spans="3:3" x14ac:dyDescent="0.2">
      <c r="C198" s="20"/>
    </row>
    <row r="199" spans="3:3" x14ac:dyDescent="0.2">
      <c r="C199" s="20"/>
    </row>
    <row r="200" spans="3:3" x14ac:dyDescent="0.2">
      <c r="C200" s="20"/>
    </row>
    <row r="201" spans="3:3" x14ac:dyDescent="0.2">
      <c r="C201" s="20"/>
    </row>
    <row r="202" spans="3:3" x14ac:dyDescent="0.2">
      <c r="C202" s="20"/>
    </row>
    <row r="203" spans="3:3" x14ac:dyDescent="0.2">
      <c r="C203" s="20"/>
    </row>
    <row r="204" spans="3:3" x14ac:dyDescent="0.2">
      <c r="C204" s="20"/>
    </row>
    <row r="205" spans="3:3" x14ac:dyDescent="0.2">
      <c r="C205" s="20"/>
    </row>
    <row r="206" spans="3:3" x14ac:dyDescent="0.2">
      <c r="C206" s="20"/>
    </row>
    <row r="207" spans="3:3" x14ac:dyDescent="0.2">
      <c r="C207" s="20"/>
    </row>
    <row r="208" spans="3:3" x14ac:dyDescent="0.2">
      <c r="C208" s="20"/>
    </row>
    <row r="209" spans="3:3" x14ac:dyDescent="0.2">
      <c r="C209" s="20"/>
    </row>
    <row r="210" spans="3:3" x14ac:dyDescent="0.2">
      <c r="C210" s="20"/>
    </row>
    <row r="211" spans="3:3" x14ac:dyDescent="0.2">
      <c r="C211" s="20"/>
    </row>
    <row r="212" spans="3:3" x14ac:dyDescent="0.2">
      <c r="C212" s="20"/>
    </row>
    <row r="213" spans="3:3" x14ac:dyDescent="0.2">
      <c r="C213" s="20"/>
    </row>
    <row r="214" spans="3:3" x14ac:dyDescent="0.2">
      <c r="C214" s="20"/>
    </row>
    <row r="215" spans="3:3" x14ac:dyDescent="0.2">
      <c r="C215" s="20"/>
    </row>
    <row r="216" spans="3:3" x14ac:dyDescent="0.2">
      <c r="C216" s="20"/>
    </row>
    <row r="217" spans="3:3" x14ac:dyDescent="0.2">
      <c r="C217" s="20"/>
    </row>
    <row r="218" spans="3:3" x14ac:dyDescent="0.2">
      <c r="C218" s="20"/>
    </row>
    <row r="219" spans="3:3" x14ac:dyDescent="0.2">
      <c r="C219" s="20"/>
    </row>
    <row r="220" spans="3:3" x14ac:dyDescent="0.2">
      <c r="C220" s="20"/>
    </row>
    <row r="221" spans="3:3" x14ac:dyDescent="0.2">
      <c r="C221" s="20"/>
    </row>
    <row r="222" spans="3:3" x14ac:dyDescent="0.2">
      <c r="C222" s="20"/>
    </row>
    <row r="223" spans="3:3" x14ac:dyDescent="0.2">
      <c r="C223" s="20"/>
    </row>
    <row r="224" spans="3:3" x14ac:dyDescent="0.2">
      <c r="C224" s="20"/>
    </row>
    <row r="225" spans="3:3" x14ac:dyDescent="0.2">
      <c r="C225" s="20"/>
    </row>
    <row r="226" spans="3:3" x14ac:dyDescent="0.2">
      <c r="C226" s="20"/>
    </row>
    <row r="227" spans="3:3" x14ac:dyDescent="0.2">
      <c r="C227" s="20"/>
    </row>
    <row r="228" spans="3:3" x14ac:dyDescent="0.2">
      <c r="C228" s="20"/>
    </row>
    <row r="229" spans="3:3" x14ac:dyDescent="0.2">
      <c r="C229" s="20"/>
    </row>
    <row r="230" spans="3:3" x14ac:dyDescent="0.2">
      <c r="C230" s="20"/>
    </row>
    <row r="231" spans="3:3" x14ac:dyDescent="0.2">
      <c r="C231" s="20"/>
    </row>
    <row r="232" spans="3:3" x14ac:dyDescent="0.2">
      <c r="C232" s="20"/>
    </row>
    <row r="233" spans="3:3" x14ac:dyDescent="0.2">
      <c r="C233" s="20"/>
    </row>
    <row r="234" spans="3:3" x14ac:dyDescent="0.2">
      <c r="C234" s="20"/>
    </row>
    <row r="235" spans="3:3" x14ac:dyDescent="0.2">
      <c r="C235" s="20"/>
    </row>
    <row r="236" spans="3:3" x14ac:dyDescent="0.2">
      <c r="C236" s="20"/>
    </row>
    <row r="237" spans="3:3" x14ac:dyDescent="0.2">
      <c r="C237" s="20"/>
    </row>
    <row r="238" spans="3:3" x14ac:dyDescent="0.2">
      <c r="C238" s="20"/>
    </row>
    <row r="239" spans="3:3" x14ac:dyDescent="0.2">
      <c r="C239" s="20"/>
    </row>
    <row r="240" spans="3:3" x14ac:dyDescent="0.2">
      <c r="C240" s="20"/>
    </row>
    <row r="241" spans="3:3" x14ac:dyDescent="0.2">
      <c r="C241" s="20"/>
    </row>
    <row r="242" spans="3:3" x14ac:dyDescent="0.2">
      <c r="C242" s="20"/>
    </row>
    <row r="243" spans="3:3" x14ac:dyDescent="0.2">
      <c r="C243" s="20"/>
    </row>
    <row r="244" spans="3:3" x14ac:dyDescent="0.2">
      <c r="C244" s="20"/>
    </row>
    <row r="245" spans="3:3" x14ac:dyDescent="0.2">
      <c r="C245" s="20"/>
    </row>
    <row r="246" spans="3:3" x14ac:dyDescent="0.2">
      <c r="C246" s="20"/>
    </row>
    <row r="247" spans="3:3" x14ac:dyDescent="0.2">
      <c r="C247" s="20"/>
    </row>
    <row r="248" spans="3:3" x14ac:dyDescent="0.2">
      <c r="C248" s="20"/>
    </row>
    <row r="249" spans="3:3" x14ac:dyDescent="0.2">
      <c r="C249" s="20"/>
    </row>
    <row r="250" spans="3:3" x14ac:dyDescent="0.2">
      <c r="C250" s="20"/>
    </row>
    <row r="251" spans="3:3" x14ac:dyDescent="0.2">
      <c r="C251" s="20"/>
    </row>
    <row r="252" spans="3:3" x14ac:dyDescent="0.2">
      <c r="C252" s="20"/>
    </row>
    <row r="253" spans="3:3" x14ac:dyDescent="0.2">
      <c r="C253" s="20"/>
    </row>
    <row r="254" spans="3:3" x14ac:dyDescent="0.2">
      <c r="C254" s="20"/>
    </row>
    <row r="255" spans="3:3" x14ac:dyDescent="0.2">
      <c r="C255" s="20"/>
    </row>
    <row r="256" spans="3:3" x14ac:dyDescent="0.2">
      <c r="C256" s="20"/>
    </row>
    <row r="257" spans="3:3" x14ac:dyDescent="0.2">
      <c r="C257" s="20"/>
    </row>
    <row r="258" spans="3:3" x14ac:dyDescent="0.2">
      <c r="C258" s="20"/>
    </row>
    <row r="259" spans="3:3" x14ac:dyDescent="0.2">
      <c r="C259" s="20"/>
    </row>
    <row r="260" spans="3:3" x14ac:dyDescent="0.2">
      <c r="C260" s="20"/>
    </row>
    <row r="261" spans="3:3" x14ac:dyDescent="0.2">
      <c r="C261" s="20"/>
    </row>
    <row r="262" spans="3:3" x14ac:dyDescent="0.2">
      <c r="C262" s="20"/>
    </row>
    <row r="263" spans="3:3" x14ac:dyDescent="0.2">
      <c r="C263" s="20"/>
    </row>
    <row r="264" spans="3:3" x14ac:dyDescent="0.2">
      <c r="C264" s="20"/>
    </row>
    <row r="265" spans="3:3" x14ac:dyDescent="0.2">
      <c r="C265" s="20"/>
    </row>
    <row r="266" spans="3:3" x14ac:dyDescent="0.2">
      <c r="C266" s="20"/>
    </row>
    <row r="267" spans="3:3" x14ac:dyDescent="0.2">
      <c r="C267" s="20"/>
    </row>
    <row r="268" spans="3:3" x14ac:dyDescent="0.2">
      <c r="C268" s="20"/>
    </row>
    <row r="269" spans="3:3" x14ac:dyDescent="0.2">
      <c r="C269" s="20"/>
    </row>
    <row r="270" spans="3:3" x14ac:dyDescent="0.2">
      <c r="C270" s="20"/>
    </row>
    <row r="271" spans="3:3" x14ac:dyDescent="0.2">
      <c r="C271" s="20"/>
    </row>
    <row r="272" spans="3:3" x14ac:dyDescent="0.2">
      <c r="C272" s="20"/>
    </row>
    <row r="273" spans="3:3" x14ac:dyDescent="0.2">
      <c r="C273" s="20"/>
    </row>
    <row r="274" spans="3:3" x14ac:dyDescent="0.2">
      <c r="C274" s="20"/>
    </row>
    <row r="275" spans="3:3" x14ac:dyDescent="0.2">
      <c r="C275" s="20"/>
    </row>
    <row r="276" spans="3:3" x14ac:dyDescent="0.2">
      <c r="C276" s="20"/>
    </row>
    <row r="277" spans="3:3" x14ac:dyDescent="0.2">
      <c r="C277" s="20"/>
    </row>
    <row r="278" spans="3:3" x14ac:dyDescent="0.2">
      <c r="C278" s="20"/>
    </row>
    <row r="279" spans="3:3" x14ac:dyDescent="0.2">
      <c r="C279" s="20"/>
    </row>
    <row r="280" spans="3:3" x14ac:dyDescent="0.2">
      <c r="C280" s="20"/>
    </row>
    <row r="281" spans="3:3" x14ac:dyDescent="0.2">
      <c r="C281" s="20"/>
    </row>
    <row r="282" spans="3:3" x14ac:dyDescent="0.2">
      <c r="C282" s="20"/>
    </row>
    <row r="283" spans="3:3" x14ac:dyDescent="0.2">
      <c r="C283" s="20"/>
    </row>
    <row r="284" spans="3:3" x14ac:dyDescent="0.2">
      <c r="C284" s="20"/>
    </row>
    <row r="285" spans="3:3" x14ac:dyDescent="0.2">
      <c r="C285" s="20"/>
    </row>
    <row r="286" spans="3:3" x14ac:dyDescent="0.2">
      <c r="C286" s="20"/>
    </row>
    <row r="287" spans="3:3" x14ac:dyDescent="0.2">
      <c r="C287" s="20"/>
    </row>
    <row r="288" spans="3:3" x14ac:dyDescent="0.2">
      <c r="C288" s="20"/>
    </row>
    <row r="289" spans="3:3" x14ac:dyDescent="0.2">
      <c r="C289" s="20"/>
    </row>
    <row r="290" spans="3:3" x14ac:dyDescent="0.2">
      <c r="C290" s="20"/>
    </row>
    <row r="291" spans="3:3" x14ac:dyDescent="0.2">
      <c r="C291" s="20"/>
    </row>
    <row r="292" spans="3:3" x14ac:dyDescent="0.2">
      <c r="C292" s="20"/>
    </row>
    <row r="293" spans="3:3" x14ac:dyDescent="0.2">
      <c r="C293" s="20"/>
    </row>
    <row r="294" spans="3:3" x14ac:dyDescent="0.2">
      <c r="C294" s="20"/>
    </row>
    <row r="295" spans="3:3" x14ac:dyDescent="0.2">
      <c r="C295" s="20"/>
    </row>
    <row r="296" spans="3:3" x14ac:dyDescent="0.2">
      <c r="C296" s="20"/>
    </row>
    <row r="297" spans="3:3" x14ac:dyDescent="0.2">
      <c r="C297" s="20"/>
    </row>
    <row r="298" spans="3:3" x14ac:dyDescent="0.2">
      <c r="C298" s="20"/>
    </row>
    <row r="299" spans="3:3" x14ac:dyDescent="0.2">
      <c r="C299" s="20"/>
    </row>
    <row r="300" spans="3:3" x14ac:dyDescent="0.2">
      <c r="C300" s="20"/>
    </row>
    <row r="301" spans="3:3" x14ac:dyDescent="0.2">
      <c r="C301" s="20"/>
    </row>
    <row r="302" spans="3:3" x14ac:dyDescent="0.2">
      <c r="C302" s="20"/>
    </row>
    <row r="303" spans="3:3" x14ac:dyDescent="0.2">
      <c r="C303" s="20"/>
    </row>
    <row r="304" spans="3:3" x14ac:dyDescent="0.2">
      <c r="C304" s="20"/>
    </row>
    <row r="305" spans="3:3" x14ac:dyDescent="0.2">
      <c r="C305" s="20"/>
    </row>
    <row r="306" spans="3:3" x14ac:dyDescent="0.2">
      <c r="C306" s="20"/>
    </row>
    <row r="307" spans="3:3" x14ac:dyDescent="0.2">
      <c r="C307" s="20"/>
    </row>
    <row r="308" spans="3:3" x14ac:dyDescent="0.2">
      <c r="C308" s="20"/>
    </row>
    <row r="309" spans="3:3" x14ac:dyDescent="0.2">
      <c r="C309" s="20"/>
    </row>
    <row r="310" spans="3:3" x14ac:dyDescent="0.2">
      <c r="C310" s="20"/>
    </row>
    <row r="311" spans="3:3" x14ac:dyDescent="0.2">
      <c r="C311" s="20"/>
    </row>
    <row r="312" spans="3:3" x14ac:dyDescent="0.2">
      <c r="C312" s="20"/>
    </row>
    <row r="313" spans="3:3" x14ac:dyDescent="0.2">
      <c r="C313" s="20"/>
    </row>
    <row r="314" spans="3:3" x14ac:dyDescent="0.2">
      <c r="C314" s="20"/>
    </row>
    <row r="315" spans="3:3" x14ac:dyDescent="0.2">
      <c r="C315" s="20"/>
    </row>
    <row r="316" spans="3:3" x14ac:dyDescent="0.2">
      <c r="C316" s="20"/>
    </row>
    <row r="317" spans="3:3" x14ac:dyDescent="0.2">
      <c r="C317" s="20"/>
    </row>
    <row r="318" spans="3:3" x14ac:dyDescent="0.2">
      <c r="C318" s="20"/>
    </row>
    <row r="319" spans="3:3" x14ac:dyDescent="0.2">
      <c r="C319" s="20"/>
    </row>
    <row r="320" spans="3:3" x14ac:dyDescent="0.2">
      <c r="C320" s="20"/>
    </row>
    <row r="321" spans="3:3" x14ac:dyDescent="0.2">
      <c r="C321" s="20"/>
    </row>
    <row r="322" spans="3:3" x14ac:dyDescent="0.2">
      <c r="C322" s="20"/>
    </row>
    <row r="323" spans="3:3" x14ac:dyDescent="0.2">
      <c r="C323" s="20"/>
    </row>
    <row r="324" spans="3:3" x14ac:dyDescent="0.2">
      <c r="C324" s="20"/>
    </row>
    <row r="325" spans="3:3" x14ac:dyDescent="0.2">
      <c r="C325" s="20"/>
    </row>
    <row r="326" spans="3:3" x14ac:dyDescent="0.2">
      <c r="C326" s="20"/>
    </row>
    <row r="327" spans="3:3" x14ac:dyDescent="0.2">
      <c r="C327" s="20"/>
    </row>
    <row r="328" spans="3:3" x14ac:dyDescent="0.2">
      <c r="C328" s="20"/>
    </row>
    <row r="329" spans="3:3" x14ac:dyDescent="0.2">
      <c r="C329" s="20"/>
    </row>
    <row r="330" spans="3:3" x14ac:dyDescent="0.2">
      <c r="C330" s="20"/>
    </row>
    <row r="331" spans="3:3" x14ac:dyDescent="0.2">
      <c r="C331" s="20"/>
    </row>
  </sheetData>
  <mergeCells count="57">
    <mergeCell ref="A85:B85"/>
    <mergeCell ref="I85:M85"/>
    <mergeCell ref="A86:B86"/>
    <mergeCell ref="A87:B87"/>
    <mergeCell ref="A89:B89"/>
    <mergeCell ref="AS5:AV5"/>
    <mergeCell ref="AW5:AW6"/>
    <mergeCell ref="AX5:BA5"/>
    <mergeCell ref="A79:B79"/>
    <mergeCell ref="H79:H85"/>
    <mergeCell ref="I79:M79"/>
    <mergeCell ref="A80:B80"/>
    <mergeCell ref="I80:M80"/>
    <mergeCell ref="A81:B81"/>
    <mergeCell ref="I81:M81"/>
    <mergeCell ref="A82:B82"/>
    <mergeCell ref="I82:M82"/>
    <mergeCell ref="A83:B83"/>
    <mergeCell ref="I83:M83"/>
    <mergeCell ref="A84:B84"/>
    <mergeCell ref="I84:M84"/>
    <mergeCell ref="AH5:AH6"/>
    <mergeCell ref="AI5:AL5"/>
    <mergeCell ref="AM5:AM6"/>
    <mergeCell ref="AN5:AQ5"/>
    <mergeCell ref="AR5:AR6"/>
    <mergeCell ref="U5:W5"/>
    <mergeCell ref="X5:X6"/>
    <mergeCell ref="Y5:AB5"/>
    <mergeCell ref="AC5:AC6"/>
    <mergeCell ref="AD5:AG5"/>
    <mergeCell ref="N5:N6"/>
    <mergeCell ref="O5:O6"/>
    <mergeCell ref="P5:P6"/>
    <mergeCell ref="Q5:S5"/>
    <mergeCell ref="T5:T6"/>
    <mergeCell ref="I5:I6"/>
    <mergeCell ref="J5:J6"/>
    <mergeCell ref="K5:K6"/>
    <mergeCell ref="L5:L6"/>
    <mergeCell ref="M5:M6"/>
    <mergeCell ref="A3:A7"/>
    <mergeCell ref="B3:B7"/>
    <mergeCell ref="C3:C7"/>
    <mergeCell ref="D3:F3"/>
    <mergeCell ref="G3:BA3"/>
    <mergeCell ref="D4:D7"/>
    <mergeCell ref="E4:E7"/>
    <mergeCell ref="F4:F7"/>
    <mergeCell ref="G4:G7"/>
    <mergeCell ref="H4:H7"/>
    <mergeCell ref="I4:M4"/>
    <mergeCell ref="N4:O4"/>
    <mergeCell ref="P4:W4"/>
    <mergeCell ref="X4:AG4"/>
    <mergeCell ref="AH4:AQ4"/>
    <mergeCell ref="AR4:BA4"/>
  </mergeCells>
  <conditionalFormatting sqref="H90:BB90">
    <cfRule type="cellIs" dxfId="36" priority="28" operator="lessThanOrEqual">
      <formula>0.95</formula>
    </cfRule>
    <cfRule type="cellIs" dxfId="35" priority="29" operator="greaterThan">
      <formula>1.05</formula>
    </cfRule>
  </conditionalFormatting>
  <conditionalFormatting sqref="P46:W48 X87:BA87">
    <cfRule type="cellIs" dxfId="34" priority="5" operator="equal">
      <formula>0</formula>
    </cfRule>
  </conditionalFormatting>
  <conditionalFormatting sqref="P51:W51 P59:W61 P87:W89 Y88:AB88 AD88:AG88">
    <cfRule type="cellIs" dxfId="33" priority="43" operator="equal">
      <formula>0</formula>
    </cfRule>
  </conditionalFormatting>
  <conditionalFormatting sqref="P66:W66">
    <cfRule type="cellIs" dxfId="32" priority="48" operator="equal">
      <formula>0</formula>
    </cfRule>
  </conditionalFormatting>
  <conditionalFormatting sqref="P72:W72">
    <cfRule type="cellIs" dxfId="31" priority="30" operator="equal">
      <formula>0</formula>
    </cfRule>
  </conditionalFormatting>
  <conditionalFormatting sqref="P89:BA89">
    <cfRule type="cellIs" dxfId="30" priority="6" operator="lessThan">
      <formula>0</formula>
    </cfRule>
  </conditionalFormatting>
  <conditionalFormatting sqref="X88:X89">
    <cfRule type="cellIs" dxfId="29" priority="21" operator="equal">
      <formula>0</formula>
    </cfRule>
  </conditionalFormatting>
  <conditionalFormatting sqref="AC88:AC89">
    <cfRule type="cellIs" dxfId="28" priority="19" operator="equal">
      <formula>0</formula>
    </cfRule>
  </conditionalFormatting>
  <conditionalFormatting sqref="AH88:AH89">
    <cfRule type="cellIs" dxfId="27" priority="15" operator="equal">
      <formula>0</formula>
    </cfRule>
  </conditionalFormatting>
  <conditionalFormatting sqref="AI88:AL88">
    <cfRule type="cellIs" dxfId="26" priority="17" operator="equal">
      <formula>0</formula>
    </cfRule>
  </conditionalFormatting>
  <conditionalFormatting sqref="AM88:AM89">
    <cfRule type="cellIs" dxfId="25" priority="13" operator="equal">
      <formula>0</formula>
    </cfRule>
  </conditionalFormatting>
  <conditionalFormatting sqref="AN88:AQ88">
    <cfRule type="cellIs" dxfId="24" priority="24" operator="equal">
      <formula>0</formula>
    </cfRule>
  </conditionalFormatting>
  <conditionalFormatting sqref="AR88:AR89">
    <cfRule type="cellIs" dxfId="23" priority="9" operator="equal">
      <formula>0</formula>
    </cfRule>
  </conditionalFormatting>
  <conditionalFormatting sqref="AS88:AV88">
    <cfRule type="cellIs" dxfId="22" priority="11" operator="equal">
      <formula>0</formula>
    </cfRule>
  </conditionalFormatting>
  <conditionalFormatting sqref="AW88:AW89">
    <cfRule type="cellIs" dxfId="21" priority="7" operator="equal">
      <formula>0</formula>
    </cfRule>
  </conditionalFormatting>
  <conditionalFormatting sqref="AX88:BA88">
    <cfRule type="cellIs" dxfId="20" priority="23" operator="equal">
      <formula>0</formula>
    </cfRule>
  </conditionalFormatting>
  <conditionalFormatting sqref="BC34:BC74">
    <cfRule type="cellIs" dxfId="19" priority="2" operator="lessThanOrEqual">
      <formula>0.95</formula>
    </cfRule>
    <cfRule type="cellIs" dxfId="18" priority="3" operator="greaterThan">
      <formula>1.05</formula>
    </cfRule>
  </conditionalFormatting>
  <conditionalFormatting sqref="BC76:BC90">
    <cfRule type="cellIs" dxfId="17" priority="32" operator="lessThanOrEqual">
      <formula>0.95</formula>
    </cfRule>
    <cfRule type="cellIs" dxfId="16" priority="33" operator="greaterThan">
      <formula>1.05</formula>
    </cfRule>
  </conditionalFormatting>
  <conditionalFormatting sqref="BC33:BE33">
    <cfRule type="cellIs" dxfId="15" priority="41" operator="lessThanOrEqual">
      <formula>0.95</formula>
    </cfRule>
    <cfRule type="cellIs" dxfId="14" priority="42" operator="greaterThan">
      <formula>1.05</formula>
    </cfRule>
  </conditionalFormatting>
  <conditionalFormatting sqref="BD23:BE23 BC23:BC32 A90:B90">
    <cfRule type="cellIs" dxfId="13" priority="46" operator="lessThanOrEqual">
      <formula>0.95</formula>
    </cfRule>
    <cfRule type="cellIs" dxfId="12" priority="47" operator="greaterThan">
      <formula>1.05</formula>
    </cfRule>
  </conditionalFormatting>
  <conditionalFormatting sqref="BE34:BE48 BE50:BE70">
    <cfRule type="cellIs" dxfId="11" priority="4" operator="lessThan">
      <formula>0.85</formula>
    </cfRule>
  </conditionalFormatting>
  <conditionalFormatting sqref="BE49">
    <cfRule type="cellIs" dxfId="10" priority="45" operator="lessThan">
      <formula>0.95</formula>
    </cfRule>
  </conditionalFormatting>
  <conditionalFormatting sqref="BE71">
    <cfRule type="cellIs" dxfId="9" priority="31" operator="lessThan">
      <formula>0.95</formula>
    </cfRule>
  </conditionalFormatting>
  <conditionalFormatting sqref="BE72:BE74">
    <cfRule type="cellIs" dxfId="8" priority="27" operator="lessThan">
      <formula>0.85</formula>
    </cfRule>
  </conditionalFormatting>
  <conditionalFormatting sqref="BE76:BE90">
    <cfRule type="cellIs" dxfId="7" priority="34" operator="lessThan">
      <formula>0.85</formula>
    </cfRule>
  </conditionalFormatting>
  <printOptions gridLines="1"/>
  <pageMargins left="0.39370078740157483" right="0.39370078740157483" top="0" bottom="0" header="0.51181102362204722" footer="0.51181102362204722"/>
  <pageSetup paperSize="9" scale="25" fitToHeight="0" orientation="portrait" horizontalDpi="300" verticalDpi="300" r:id="rId1"/>
  <rowBreaks count="1" manualBreakCount="1">
    <brk id="48" max="16383" man="1"/>
  </rowBreaks>
  <colBreaks count="2" manualBreakCount="2">
    <brk id="55" max="1048575" man="1"/>
    <brk id="57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9" id="{30B2F349-D42A-4F68-B94E-48C430BD6F6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3Symbols2" iconId="2"/>
            </x14:iconSet>
          </x14:cfRule>
          <xm:sqref>P89:BA89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N17"/>
  <sheetViews>
    <sheetView zoomScale="90" zoomScaleNormal="90" workbookViewId="0">
      <selection activeCell="A3" sqref="A3:BN11"/>
    </sheetView>
  </sheetViews>
  <sheetFormatPr defaultColWidth="8.7109375" defaultRowHeight="12.75" x14ac:dyDescent="0.2"/>
  <cols>
    <col min="1" max="1" width="5.42578125" style="191" customWidth="1"/>
    <col min="2" max="2" width="7.42578125" style="191" customWidth="1"/>
    <col min="3" max="3" width="3.28515625" style="191" customWidth="1"/>
    <col min="4" max="5" width="5.28515625" style="191" customWidth="1"/>
    <col min="6" max="7" width="3.28515625" style="191" customWidth="1"/>
    <col min="8" max="13" width="3.7109375" style="191" customWidth="1"/>
    <col min="14" max="20" width="3.28515625" style="191" customWidth="1"/>
    <col min="21" max="21" width="4" style="191" customWidth="1"/>
    <col min="22" max="24" width="3.28515625" style="191" customWidth="1"/>
    <col min="25" max="28" width="4.140625" style="191" customWidth="1"/>
    <col min="29" max="32" width="3.7109375" style="191" customWidth="1"/>
    <col min="33" max="33" width="4.140625" style="191" customWidth="1"/>
    <col min="34" max="38" width="3.7109375" style="191" customWidth="1"/>
    <col min="39" max="39" width="3.42578125" style="191" customWidth="1"/>
    <col min="40" max="41" width="3.28515625" style="191" customWidth="1"/>
    <col min="42" max="42" width="3.42578125" style="191" customWidth="1"/>
    <col min="43" max="48" width="3.28515625" style="191" customWidth="1"/>
    <col min="49" max="50" width="1.5703125" style="191" customWidth="1"/>
    <col min="51" max="59" width="3.28515625" style="191" customWidth="1"/>
    <col min="60" max="60" width="7.85546875" style="191" customWidth="1"/>
    <col min="61" max="61" width="4.85546875" style="191" customWidth="1"/>
    <col min="62" max="62" width="7.7109375" style="191" customWidth="1"/>
    <col min="63" max="63" width="7.28515625" style="191" customWidth="1"/>
    <col min="64" max="64" width="5.5703125" style="191" customWidth="1"/>
    <col min="65" max="66" width="5.42578125" style="191" customWidth="1"/>
    <col min="67" max="16384" width="8.7109375" style="191"/>
  </cols>
  <sheetData>
    <row r="2" spans="1:66" s="192" customFormat="1" ht="63.75" customHeight="1" x14ac:dyDescent="0.2">
      <c r="A2" s="330" t="s">
        <v>177</v>
      </c>
      <c r="B2" s="330"/>
      <c r="C2" s="330"/>
      <c r="D2" s="330"/>
      <c r="E2" s="330"/>
      <c r="F2" s="331" t="s">
        <v>178</v>
      </c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331"/>
      <c r="AO2" s="331"/>
      <c r="AP2" s="331"/>
      <c r="AQ2" s="331"/>
      <c r="AR2" s="331"/>
      <c r="AS2" s="331"/>
      <c r="AT2" s="331"/>
      <c r="AU2" s="331"/>
      <c r="AV2" s="331"/>
      <c r="AW2" s="331"/>
      <c r="AX2" s="331"/>
      <c r="AY2" s="331"/>
      <c r="AZ2" s="331"/>
      <c r="BA2" s="331"/>
      <c r="BB2" s="331"/>
      <c r="BC2" s="331"/>
      <c r="BD2" s="331"/>
      <c r="BE2" s="331"/>
      <c r="BF2" s="331"/>
      <c r="BG2" s="191"/>
      <c r="BH2" s="191"/>
      <c r="BI2" s="191"/>
      <c r="BJ2" s="191"/>
      <c r="BK2" s="191"/>
      <c r="BL2" s="191"/>
      <c r="BM2" s="191"/>
      <c r="BN2" s="191"/>
    </row>
    <row r="3" spans="1:66" ht="36.75" customHeight="1" x14ac:dyDescent="0.2">
      <c r="A3" s="332" t="s">
        <v>179</v>
      </c>
      <c r="B3" s="332" t="s">
        <v>180</v>
      </c>
      <c r="C3" s="333" t="s">
        <v>181</v>
      </c>
      <c r="D3" s="333"/>
      <c r="E3" s="333"/>
      <c r="F3" s="332" t="s">
        <v>182</v>
      </c>
      <c r="G3" s="332"/>
      <c r="H3" s="332"/>
      <c r="I3" s="332"/>
      <c r="J3" s="332"/>
      <c r="K3" s="332" t="s">
        <v>183</v>
      </c>
      <c r="L3" s="332"/>
      <c r="M3" s="332"/>
      <c r="N3" s="332"/>
      <c r="O3" s="332" t="s">
        <v>184</v>
      </c>
      <c r="P3" s="332"/>
      <c r="Q3" s="332"/>
      <c r="R3" s="332"/>
      <c r="S3" s="332" t="s">
        <v>185</v>
      </c>
      <c r="T3" s="332"/>
      <c r="U3" s="332"/>
      <c r="V3" s="332"/>
      <c r="W3" s="332"/>
      <c r="X3" s="332" t="s">
        <v>186</v>
      </c>
      <c r="Y3" s="332"/>
      <c r="Z3" s="332"/>
      <c r="AA3" s="332"/>
      <c r="AB3" s="332" t="s">
        <v>187</v>
      </c>
      <c r="AC3" s="332"/>
      <c r="AD3" s="332"/>
      <c r="AE3" s="332"/>
      <c r="AF3" s="332" t="s">
        <v>188</v>
      </c>
      <c r="AG3" s="332"/>
      <c r="AH3" s="332"/>
      <c r="AI3" s="332"/>
      <c r="AJ3" s="332"/>
      <c r="AK3" s="332" t="s">
        <v>189</v>
      </c>
      <c r="AL3" s="332"/>
      <c r="AM3" s="332"/>
      <c r="AN3" s="332"/>
      <c r="AO3" s="332" t="s">
        <v>190</v>
      </c>
      <c r="AP3" s="332"/>
      <c r="AQ3" s="332"/>
      <c r="AR3" s="332"/>
      <c r="AS3" s="334" t="s">
        <v>191</v>
      </c>
      <c r="AT3" s="334"/>
      <c r="AU3" s="334"/>
      <c r="AV3" s="334"/>
      <c r="AW3" s="335"/>
      <c r="AX3" s="335"/>
      <c r="AY3" s="339" t="s">
        <v>192</v>
      </c>
      <c r="AZ3" s="339"/>
      <c r="BA3" s="339"/>
      <c r="BB3" s="339"/>
      <c r="BC3" s="332" t="s">
        <v>193</v>
      </c>
      <c r="BD3" s="332"/>
      <c r="BE3" s="332"/>
      <c r="BF3" s="332"/>
      <c r="BG3" s="338" t="s">
        <v>179</v>
      </c>
      <c r="BH3" s="337" t="s">
        <v>194</v>
      </c>
      <c r="BI3" s="337" t="s">
        <v>135</v>
      </c>
      <c r="BJ3" s="336" t="s">
        <v>195</v>
      </c>
      <c r="BK3" s="336"/>
      <c r="BL3" s="337" t="s">
        <v>33</v>
      </c>
      <c r="BM3" s="337" t="s">
        <v>196</v>
      </c>
      <c r="BN3" s="337" t="s">
        <v>197</v>
      </c>
    </row>
    <row r="4" spans="1:66" ht="63" customHeight="1" x14ac:dyDescent="0.2">
      <c r="A4" s="332"/>
      <c r="B4" s="332"/>
      <c r="C4" s="196" t="s">
        <v>36</v>
      </c>
      <c r="D4" s="196" t="s">
        <v>37</v>
      </c>
      <c r="E4" s="196" t="s">
        <v>198</v>
      </c>
      <c r="F4" s="194" t="s">
        <v>199</v>
      </c>
      <c r="G4" s="194" t="s">
        <v>200</v>
      </c>
      <c r="H4" s="194" t="s">
        <v>201</v>
      </c>
      <c r="I4" s="194" t="s">
        <v>202</v>
      </c>
      <c r="J4" s="194" t="s">
        <v>203</v>
      </c>
      <c r="K4" s="194" t="s">
        <v>204</v>
      </c>
      <c r="L4" s="194" t="s">
        <v>205</v>
      </c>
      <c r="M4" s="194" t="s">
        <v>206</v>
      </c>
      <c r="N4" s="194" t="s">
        <v>207</v>
      </c>
      <c r="O4" s="194" t="s">
        <v>208</v>
      </c>
      <c r="P4" s="194" t="s">
        <v>209</v>
      </c>
      <c r="Q4" s="194" t="s">
        <v>210</v>
      </c>
      <c r="R4" s="194" t="s">
        <v>211</v>
      </c>
      <c r="S4" s="194" t="s">
        <v>212</v>
      </c>
      <c r="T4" s="194" t="s">
        <v>213</v>
      </c>
      <c r="U4" s="194" t="s">
        <v>214</v>
      </c>
      <c r="V4" s="194" t="s">
        <v>215</v>
      </c>
      <c r="W4" s="194" t="s">
        <v>216</v>
      </c>
      <c r="X4" s="194" t="s">
        <v>217</v>
      </c>
      <c r="Y4" s="194" t="s">
        <v>218</v>
      </c>
      <c r="Z4" s="194" t="s">
        <v>219</v>
      </c>
      <c r="AA4" s="194" t="s">
        <v>220</v>
      </c>
      <c r="AB4" s="194" t="s">
        <v>221</v>
      </c>
      <c r="AC4" s="194" t="s">
        <v>222</v>
      </c>
      <c r="AD4" s="194" t="s">
        <v>223</v>
      </c>
      <c r="AE4" s="194" t="s">
        <v>224</v>
      </c>
      <c r="AF4" s="194" t="s">
        <v>225</v>
      </c>
      <c r="AG4" s="194" t="s">
        <v>226</v>
      </c>
      <c r="AH4" s="194" t="s">
        <v>227</v>
      </c>
      <c r="AI4" s="194" t="s">
        <v>228</v>
      </c>
      <c r="AJ4" s="194" t="s">
        <v>229</v>
      </c>
      <c r="AK4" s="194" t="s">
        <v>230</v>
      </c>
      <c r="AL4" s="194" t="s">
        <v>231</v>
      </c>
      <c r="AM4" s="197" t="s">
        <v>232</v>
      </c>
      <c r="AN4" s="194" t="s">
        <v>233</v>
      </c>
      <c r="AO4" s="194" t="s">
        <v>234</v>
      </c>
      <c r="AP4" s="197" t="s">
        <v>235</v>
      </c>
      <c r="AQ4" s="194" t="s">
        <v>236</v>
      </c>
      <c r="AR4" s="194" t="s">
        <v>237</v>
      </c>
      <c r="AS4" s="194" t="s">
        <v>238</v>
      </c>
      <c r="AT4" s="194" t="s">
        <v>239</v>
      </c>
      <c r="AU4" s="194" t="s">
        <v>240</v>
      </c>
      <c r="AV4" s="194" t="s">
        <v>241</v>
      </c>
      <c r="AW4" s="338" t="s">
        <v>242</v>
      </c>
      <c r="AX4" s="338"/>
      <c r="AY4" s="194" t="s">
        <v>243</v>
      </c>
      <c r="AZ4" s="194" t="s">
        <v>244</v>
      </c>
      <c r="BA4" s="194" t="s">
        <v>245</v>
      </c>
      <c r="BB4" s="194" t="s">
        <v>246</v>
      </c>
      <c r="BC4" s="194" t="s">
        <v>247</v>
      </c>
      <c r="BD4" s="194" t="s">
        <v>248</v>
      </c>
      <c r="BE4" s="194" t="s">
        <v>249</v>
      </c>
      <c r="BF4" s="194" t="s">
        <v>250</v>
      </c>
      <c r="BG4" s="338"/>
      <c r="BH4" s="337"/>
      <c r="BI4" s="337"/>
      <c r="BJ4" s="195" t="s">
        <v>251</v>
      </c>
      <c r="BK4" s="195" t="s">
        <v>252</v>
      </c>
      <c r="BL4" s="337"/>
      <c r="BM4" s="337"/>
      <c r="BN4" s="337"/>
    </row>
    <row r="5" spans="1:66" ht="15.75" customHeight="1" x14ac:dyDescent="0.2">
      <c r="A5" s="193" t="s">
        <v>253</v>
      </c>
      <c r="B5" s="193" t="s">
        <v>254</v>
      </c>
      <c r="C5" s="193">
        <v>17</v>
      </c>
      <c r="D5" s="193">
        <v>24</v>
      </c>
      <c r="E5" s="193">
        <f>SUM(C5:D5)</f>
        <v>41</v>
      </c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9"/>
      <c r="X5" s="199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200"/>
      <c r="AN5" s="198"/>
      <c r="AO5" s="198"/>
      <c r="AP5" s="200"/>
      <c r="AQ5" s="198"/>
      <c r="AR5" s="198"/>
      <c r="AS5" s="198"/>
      <c r="AT5" s="198"/>
      <c r="AU5" s="198"/>
      <c r="AV5" s="198"/>
      <c r="AW5" s="201"/>
      <c r="AX5" s="202"/>
      <c r="AY5" s="199"/>
      <c r="AZ5" s="199"/>
      <c r="BA5" s="199"/>
      <c r="BB5" s="199"/>
      <c r="BC5" s="199"/>
      <c r="BD5" s="199"/>
      <c r="BE5" s="199"/>
      <c r="BF5" s="199"/>
      <c r="BG5" s="193" t="s">
        <v>253</v>
      </c>
      <c r="BH5" s="203">
        <v>41</v>
      </c>
      <c r="BI5" s="203">
        <v>0</v>
      </c>
      <c r="BJ5" s="203">
        <v>0</v>
      </c>
      <c r="BK5" s="203">
        <v>0</v>
      </c>
      <c r="BL5" s="203">
        <v>0</v>
      </c>
      <c r="BM5" s="203">
        <v>0</v>
      </c>
      <c r="BN5" s="203">
        <v>11</v>
      </c>
    </row>
    <row r="6" spans="1:66" ht="15.75" customHeight="1" x14ac:dyDescent="0.2">
      <c r="A6" s="193" t="s">
        <v>255</v>
      </c>
      <c r="B6" s="193" t="s">
        <v>256</v>
      </c>
      <c r="C6" s="193">
        <v>17</v>
      </c>
      <c r="D6" s="204" t="s">
        <v>257</v>
      </c>
      <c r="E6" s="204" t="s">
        <v>258</v>
      </c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9"/>
      <c r="X6" s="199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200"/>
      <c r="AN6" s="198"/>
      <c r="AO6" s="198"/>
      <c r="AP6" s="200"/>
      <c r="AQ6" s="198"/>
      <c r="AR6" s="198"/>
      <c r="AS6" s="198"/>
      <c r="AT6" s="198"/>
      <c r="AU6" s="198"/>
      <c r="AV6" s="198"/>
      <c r="AW6" s="198"/>
      <c r="AX6" s="199"/>
      <c r="AY6" s="199"/>
      <c r="AZ6" s="199"/>
      <c r="BA6" s="199"/>
      <c r="BB6" s="199"/>
      <c r="BC6" s="199"/>
      <c r="BD6" s="199"/>
      <c r="BE6" s="199"/>
      <c r="BF6" s="199"/>
      <c r="BG6" s="193" t="s">
        <v>255</v>
      </c>
      <c r="BH6" s="204" t="s">
        <v>258</v>
      </c>
      <c r="BI6" s="203">
        <v>0</v>
      </c>
      <c r="BJ6" s="203">
        <v>0</v>
      </c>
      <c r="BK6" s="203">
        <v>0</v>
      </c>
      <c r="BL6" s="203">
        <v>0</v>
      </c>
      <c r="BM6" s="203">
        <v>0</v>
      </c>
      <c r="BN6" s="204" t="s">
        <v>259</v>
      </c>
    </row>
    <row r="7" spans="1:66" ht="15.75" customHeight="1" x14ac:dyDescent="0.2">
      <c r="A7" s="193" t="s">
        <v>260</v>
      </c>
      <c r="B7" s="193" t="s">
        <v>261</v>
      </c>
      <c r="C7" s="193">
        <v>17</v>
      </c>
      <c r="D7" s="204" t="s">
        <v>257</v>
      </c>
      <c r="E7" s="204" t="s">
        <v>258</v>
      </c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9"/>
      <c r="X7" s="199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200"/>
      <c r="AN7" s="198"/>
      <c r="AO7" s="198"/>
      <c r="AP7" s="200"/>
      <c r="AQ7" s="205" t="s">
        <v>262</v>
      </c>
      <c r="AR7" s="205" t="s">
        <v>262</v>
      </c>
      <c r="AS7" s="205" t="s">
        <v>262</v>
      </c>
      <c r="AT7" s="206" t="s">
        <v>263</v>
      </c>
      <c r="AU7" s="206" t="s">
        <v>263</v>
      </c>
      <c r="AV7" s="206" t="s">
        <v>263</v>
      </c>
      <c r="AW7" s="198"/>
      <c r="AX7" s="199"/>
      <c r="AY7" s="199"/>
      <c r="AZ7" s="199"/>
      <c r="BA7" s="199"/>
      <c r="BB7" s="199"/>
      <c r="BC7" s="199"/>
      <c r="BD7" s="199"/>
      <c r="BE7" s="199"/>
      <c r="BF7" s="199"/>
      <c r="BG7" s="193" t="s">
        <v>260</v>
      </c>
      <c r="BH7" s="204" t="s">
        <v>264</v>
      </c>
      <c r="BI7" s="203">
        <v>3</v>
      </c>
      <c r="BJ7" s="203">
        <v>3</v>
      </c>
      <c r="BK7" s="203">
        <v>0</v>
      </c>
      <c r="BL7" s="203">
        <v>0</v>
      </c>
      <c r="BM7" s="203">
        <v>0</v>
      </c>
      <c r="BN7" s="204" t="s">
        <v>259</v>
      </c>
    </row>
    <row r="8" spans="1:66" ht="15.75" customHeight="1" x14ac:dyDescent="0.2">
      <c r="A8" s="193" t="s">
        <v>265</v>
      </c>
      <c r="B8" s="193" t="s">
        <v>266</v>
      </c>
      <c r="C8" s="193">
        <v>17</v>
      </c>
      <c r="D8" s="193">
        <v>18</v>
      </c>
      <c r="E8" s="193">
        <f>SUM(C8:D8)</f>
        <v>35</v>
      </c>
      <c r="F8" s="198"/>
      <c r="G8" s="205" t="s">
        <v>267</v>
      </c>
      <c r="H8" s="205" t="s">
        <v>267</v>
      </c>
      <c r="I8" s="205" t="s">
        <v>267</v>
      </c>
      <c r="J8" s="205" t="s">
        <v>267</v>
      </c>
      <c r="K8" s="205" t="s">
        <v>267</v>
      </c>
      <c r="L8" s="205" t="s">
        <v>267</v>
      </c>
      <c r="M8" s="205" t="s">
        <v>267</v>
      </c>
      <c r="N8" s="206" t="s">
        <v>268</v>
      </c>
      <c r="O8" s="206" t="s">
        <v>268</v>
      </c>
      <c r="P8" s="206" t="s">
        <v>268</v>
      </c>
      <c r="Q8" s="206" t="s">
        <v>268</v>
      </c>
      <c r="R8" s="198"/>
      <c r="S8" s="198"/>
      <c r="T8" s="198"/>
      <c r="U8" s="198"/>
      <c r="V8" s="198"/>
      <c r="W8" s="199"/>
      <c r="X8" s="199"/>
      <c r="Y8" s="198"/>
      <c r="Z8" s="198"/>
      <c r="AA8" s="198"/>
      <c r="AB8" s="198"/>
      <c r="AC8" s="198"/>
      <c r="AD8" s="205" t="s">
        <v>269</v>
      </c>
      <c r="AE8" s="205" t="s">
        <v>269</v>
      </c>
      <c r="AF8" s="205" t="s">
        <v>269</v>
      </c>
      <c r="AG8" s="205" t="s">
        <v>269</v>
      </c>
      <c r="AH8" s="205" t="s">
        <v>269</v>
      </c>
      <c r="AI8" s="206" t="s">
        <v>270</v>
      </c>
      <c r="AJ8" s="206" t="s">
        <v>270</v>
      </c>
      <c r="AK8" s="206" t="s">
        <v>270</v>
      </c>
      <c r="AL8" s="198"/>
      <c r="AM8" s="207"/>
      <c r="AN8" s="207"/>
      <c r="AO8" s="207"/>
      <c r="AP8" s="207"/>
      <c r="AQ8" s="208"/>
      <c r="AR8" s="208"/>
      <c r="AS8" s="208"/>
      <c r="AT8" s="208"/>
      <c r="AU8" s="208"/>
      <c r="AV8" s="208"/>
      <c r="AW8" s="341"/>
      <c r="AX8" s="341"/>
      <c r="AY8" s="209"/>
      <c r="AZ8" s="209"/>
      <c r="BA8" s="209"/>
      <c r="BB8" s="209"/>
      <c r="BC8" s="209"/>
      <c r="BD8" s="209"/>
      <c r="BE8" s="209"/>
      <c r="BF8" s="209"/>
      <c r="BG8" s="193" t="s">
        <v>265</v>
      </c>
      <c r="BH8" s="203">
        <v>12</v>
      </c>
      <c r="BI8" s="203">
        <v>12</v>
      </c>
      <c r="BJ8" s="203">
        <v>7</v>
      </c>
      <c r="BK8" s="203">
        <v>4</v>
      </c>
      <c r="BL8" s="203">
        <v>0</v>
      </c>
      <c r="BM8" s="203">
        <v>6</v>
      </c>
      <c r="BN8" s="203">
        <v>2</v>
      </c>
    </row>
    <row r="10" spans="1:66" ht="21.75" customHeight="1" x14ac:dyDescent="0.2">
      <c r="F10" s="342" t="s">
        <v>271</v>
      </c>
      <c r="G10" s="342"/>
      <c r="H10" s="342"/>
      <c r="I10" s="342"/>
      <c r="J10" s="342"/>
      <c r="K10" s="342"/>
      <c r="L10" s="342"/>
      <c r="M10" s="342"/>
      <c r="N10" s="210"/>
      <c r="O10" s="343" t="s">
        <v>197</v>
      </c>
      <c r="P10" s="343"/>
      <c r="Q10" s="343"/>
      <c r="R10" s="343"/>
      <c r="S10" s="210"/>
      <c r="T10" s="344" t="s">
        <v>272</v>
      </c>
      <c r="U10" s="344"/>
      <c r="V10" s="344"/>
      <c r="W10" s="344"/>
      <c r="X10" s="344"/>
      <c r="Y10" s="344"/>
      <c r="Z10" s="344"/>
      <c r="AA10" s="344"/>
      <c r="AB10" s="210"/>
      <c r="AC10" s="345" t="s">
        <v>273</v>
      </c>
      <c r="AD10" s="345"/>
      <c r="AE10" s="345"/>
      <c r="AF10" s="345"/>
      <c r="AG10" s="345"/>
      <c r="AH10" s="345"/>
      <c r="AI10" s="345"/>
      <c r="AJ10" s="345"/>
      <c r="AK10" s="210"/>
      <c r="AL10" s="346" t="s">
        <v>274</v>
      </c>
      <c r="AM10" s="346"/>
      <c r="AN10" s="346"/>
      <c r="AO10" s="346"/>
      <c r="AP10" s="346"/>
      <c r="AQ10" s="346"/>
      <c r="AR10" s="346"/>
      <c r="AS10" s="346"/>
      <c r="AT10" s="211"/>
      <c r="AU10" s="347" t="s">
        <v>275</v>
      </c>
      <c r="AV10" s="347"/>
      <c r="AW10" s="347"/>
      <c r="AX10" s="347"/>
      <c r="AY10" s="347"/>
      <c r="AZ10" s="347"/>
      <c r="BA10" s="347"/>
      <c r="BB10" s="211"/>
      <c r="BC10" s="340" t="s">
        <v>276</v>
      </c>
      <c r="BD10" s="340"/>
      <c r="BE10" s="340"/>
      <c r="BF10" s="340"/>
    </row>
    <row r="11" spans="1:66" x14ac:dyDescent="0.2">
      <c r="F11" s="342"/>
      <c r="G11" s="342"/>
      <c r="H11" s="342"/>
      <c r="I11" s="342"/>
      <c r="J11" s="342"/>
      <c r="K11" s="342"/>
      <c r="L11" s="342"/>
      <c r="M11" s="342"/>
      <c r="N11" s="210"/>
      <c r="O11" s="343"/>
      <c r="P11" s="343"/>
      <c r="Q11" s="343"/>
      <c r="R11" s="343"/>
      <c r="S11" s="210"/>
      <c r="T11" s="344"/>
      <c r="U11" s="344"/>
      <c r="V11" s="344"/>
      <c r="W11" s="344"/>
      <c r="X11" s="344"/>
      <c r="Y11" s="344"/>
      <c r="Z11" s="344"/>
      <c r="AA11" s="344"/>
      <c r="AB11" s="210"/>
      <c r="AC11" s="345"/>
      <c r="AD11" s="345"/>
      <c r="AE11" s="345"/>
      <c r="AF11" s="345"/>
      <c r="AG11" s="345"/>
      <c r="AH11" s="345"/>
      <c r="AI11" s="345"/>
      <c r="AJ11" s="345"/>
      <c r="AK11" s="210"/>
      <c r="AL11" s="346"/>
      <c r="AM11" s="346"/>
      <c r="AN11" s="346"/>
      <c r="AO11" s="346"/>
      <c r="AP11" s="346"/>
      <c r="AQ11" s="346"/>
      <c r="AR11" s="346"/>
      <c r="AS11" s="346"/>
      <c r="AT11" s="210"/>
      <c r="AU11" s="347"/>
      <c r="AV11" s="347"/>
      <c r="AW11" s="347"/>
      <c r="AX11" s="347"/>
      <c r="AY11" s="347"/>
      <c r="AZ11" s="347"/>
      <c r="BA11" s="347"/>
      <c r="BB11" s="211"/>
      <c r="BC11" s="340"/>
      <c r="BD11" s="340"/>
      <c r="BE11" s="340"/>
      <c r="BF11" s="340"/>
    </row>
    <row r="12" spans="1:66" x14ac:dyDescent="0.2"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U12" s="212"/>
      <c r="V12" s="212"/>
      <c r="W12" s="212"/>
      <c r="X12" s="212"/>
      <c r="Y12" s="212"/>
      <c r="Z12" s="212"/>
      <c r="AA12" s="212"/>
      <c r="AB12" s="210"/>
      <c r="AD12" s="213"/>
      <c r="AE12" s="213"/>
      <c r="AF12" s="213"/>
      <c r="AG12" s="213"/>
      <c r="AH12" s="213"/>
      <c r="AI12" s="213"/>
      <c r="AJ12" s="213"/>
      <c r="AT12" s="210"/>
      <c r="AU12" s="210"/>
      <c r="AV12" s="210"/>
      <c r="AW12" s="210"/>
      <c r="AX12" s="211"/>
      <c r="AY12" s="211"/>
      <c r="AZ12" s="211"/>
      <c r="BA12" s="211"/>
      <c r="BB12" s="211"/>
      <c r="BC12" s="211"/>
      <c r="BD12" s="211"/>
      <c r="BE12" s="211"/>
      <c r="BF12" s="211"/>
    </row>
    <row r="13" spans="1:66" x14ac:dyDescent="0.2">
      <c r="U13" s="212"/>
      <c r="V13" s="212"/>
      <c r="W13" s="212"/>
      <c r="X13" s="212"/>
      <c r="Y13" s="212"/>
      <c r="Z13" s="212"/>
      <c r="AA13" s="212"/>
      <c r="AD13" s="213"/>
      <c r="AE13" s="213"/>
      <c r="AF13" s="213"/>
      <c r="AG13" s="213"/>
      <c r="AH13" s="213"/>
      <c r="AI13" s="213"/>
      <c r="AJ13" s="213"/>
    </row>
    <row r="14" spans="1:66" x14ac:dyDescent="0.2">
      <c r="U14" s="212"/>
      <c r="V14" s="212"/>
      <c r="W14" s="212"/>
      <c r="X14" s="212"/>
      <c r="Y14" s="212"/>
    </row>
    <row r="17" spans="35:35" x14ac:dyDescent="0.2">
      <c r="AI17" s="214"/>
    </row>
  </sheetData>
  <mergeCells count="34">
    <mergeCell ref="BC10:BF11"/>
    <mergeCell ref="AW8:AX8"/>
    <mergeCell ref="F10:M11"/>
    <mergeCell ref="O10:R11"/>
    <mergeCell ref="T10:AA11"/>
    <mergeCell ref="AC10:AJ11"/>
    <mergeCell ref="AL10:AS11"/>
    <mergeCell ref="AU10:BA11"/>
    <mergeCell ref="BJ3:BK3"/>
    <mergeCell ref="BL3:BL4"/>
    <mergeCell ref="BM3:BM4"/>
    <mergeCell ref="BN3:BN4"/>
    <mergeCell ref="AW4:AX4"/>
    <mergeCell ref="AY3:BB3"/>
    <mergeCell ref="BC3:BF3"/>
    <mergeCell ref="BG3:BG4"/>
    <mergeCell ref="BH3:BH4"/>
    <mergeCell ref="BI3:BI4"/>
    <mergeCell ref="A2:E2"/>
    <mergeCell ref="F2:BF2"/>
    <mergeCell ref="A3:A4"/>
    <mergeCell ref="B3:B4"/>
    <mergeCell ref="C3:E3"/>
    <mergeCell ref="F3:J3"/>
    <mergeCell ref="K3:N3"/>
    <mergeCell ref="O3:R3"/>
    <mergeCell ref="S3:W3"/>
    <mergeCell ref="X3:AA3"/>
    <mergeCell ref="AB3:AE3"/>
    <mergeCell ref="AF3:AJ3"/>
    <mergeCell ref="AK3:AN3"/>
    <mergeCell ref="AO3:AR3"/>
    <mergeCell ref="AS3:AV3"/>
    <mergeCell ref="AW3:AX3"/>
  </mergeCells>
  <pageMargins left="0.7" right="0.7" top="0.75" bottom="0.75" header="0.511811023622047" footer="0.511811023622047"/>
  <pageSetup paperSize="9" orientation="landscape" horizontalDpi="300" verticalDpi="300"/>
  <ignoredErrors>
    <ignoredError sqref="D6:E7 BH6:BH7 BN6:BN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44"/>
  <sheetViews>
    <sheetView tabSelected="1" topLeftCell="B4" zoomScale="55" zoomScaleNormal="55" workbookViewId="0">
      <selection activeCell="D14" sqref="D14"/>
    </sheetView>
  </sheetViews>
  <sheetFormatPr defaultColWidth="9" defaultRowHeight="20.25" x14ac:dyDescent="0.3"/>
  <cols>
    <col min="1" max="1" width="9" hidden="1"/>
    <col min="2" max="2" width="3.85546875" style="18" customWidth="1"/>
    <col min="3" max="3" width="7" style="215" customWidth="1"/>
    <col min="4" max="4" width="139" style="18" customWidth="1"/>
    <col min="5" max="5" width="15.42578125" customWidth="1"/>
    <col min="6" max="6" width="35.85546875" customWidth="1"/>
  </cols>
  <sheetData>
    <row r="1" spans="1:13" x14ac:dyDescent="0.3">
      <c r="A1" s="4"/>
    </row>
    <row r="2" spans="1:13" ht="27.75" customHeight="1" x14ac:dyDescent="0.3">
      <c r="A2" s="4"/>
      <c r="C2" s="216" t="s">
        <v>277</v>
      </c>
      <c r="D2" s="216"/>
      <c r="E2" s="217"/>
      <c r="F2" s="217"/>
      <c r="G2" s="218"/>
      <c r="H2" s="218"/>
      <c r="I2" s="218"/>
      <c r="J2" s="218"/>
      <c r="K2" s="218"/>
      <c r="L2" s="218"/>
      <c r="M2" s="28"/>
    </row>
    <row r="3" spans="1:13" ht="27.75" customHeight="1" x14ac:dyDescent="0.3">
      <c r="A3" s="4"/>
      <c r="C3" s="286" t="s">
        <v>430</v>
      </c>
      <c r="D3" s="286"/>
      <c r="E3" s="286"/>
      <c r="F3" s="286"/>
      <c r="G3" s="218"/>
      <c r="H3" s="218"/>
      <c r="I3" s="218"/>
      <c r="J3" s="218"/>
      <c r="K3" s="218"/>
      <c r="L3" s="218"/>
      <c r="M3" s="28"/>
    </row>
    <row r="4" spans="1:13" x14ac:dyDescent="0.3">
      <c r="A4" s="4"/>
      <c r="C4" s="219"/>
      <c r="D4" s="17"/>
      <c r="E4" s="28"/>
      <c r="F4" s="28"/>
      <c r="G4" s="28"/>
      <c r="H4" s="28"/>
      <c r="I4" s="28"/>
      <c r="J4" s="28"/>
      <c r="K4" s="28"/>
      <c r="L4" s="28"/>
      <c r="M4" s="28"/>
    </row>
    <row r="5" spans="1:13" ht="37.5" x14ac:dyDescent="0.3">
      <c r="A5" s="4"/>
      <c r="C5" s="220" t="s">
        <v>278</v>
      </c>
      <c r="D5" s="221" t="s">
        <v>279</v>
      </c>
      <c r="E5" s="221" t="s">
        <v>280</v>
      </c>
      <c r="F5" s="221" t="s">
        <v>281</v>
      </c>
      <c r="G5" s="28"/>
      <c r="H5" s="28"/>
      <c r="I5" s="28"/>
      <c r="J5" s="28"/>
      <c r="K5" s="28"/>
      <c r="L5" s="28"/>
      <c r="M5" s="28"/>
    </row>
    <row r="6" spans="1:13" x14ac:dyDescent="0.3">
      <c r="A6" s="4"/>
      <c r="C6" s="222">
        <v>1</v>
      </c>
      <c r="D6" s="366" t="s">
        <v>282</v>
      </c>
      <c r="E6" s="223">
        <v>318</v>
      </c>
      <c r="F6" s="224" t="s">
        <v>283</v>
      </c>
      <c r="G6" s="28"/>
      <c r="H6" s="28"/>
      <c r="I6" s="28"/>
      <c r="J6" s="28"/>
      <c r="K6" s="28"/>
      <c r="L6" s="28"/>
      <c r="M6" s="28"/>
    </row>
    <row r="7" spans="1:13" x14ac:dyDescent="0.3">
      <c r="A7" s="4"/>
      <c r="C7" s="222">
        <f t="shared" ref="C7:C18" si="0">C6+1</f>
        <v>2</v>
      </c>
      <c r="D7" s="366" t="s">
        <v>284</v>
      </c>
      <c r="E7" s="220">
        <v>407</v>
      </c>
      <c r="F7" s="225" t="s">
        <v>285</v>
      </c>
      <c r="G7" s="28"/>
      <c r="H7" s="28"/>
      <c r="I7" s="28"/>
      <c r="J7" s="28"/>
      <c r="K7" s="28"/>
      <c r="L7" s="28"/>
      <c r="M7" s="28"/>
    </row>
    <row r="8" spans="1:13" x14ac:dyDescent="0.3">
      <c r="A8" s="4"/>
      <c r="C8" s="222">
        <f t="shared" si="0"/>
        <v>3</v>
      </c>
      <c r="D8" s="367" t="s">
        <v>286</v>
      </c>
      <c r="E8" s="220">
        <v>414</v>
      </c>
      <c r="F8" s="225" t="s">
        <v>287</v>
      </c>
      <c r="G8" s="28"/>
      <c r="H8" s="28"/>
      <c r="I8" s="28"/>
      <c r="J8" s="28"/>
      <c r="K8" s="28"/>
      <c r="L8" s="28"/>
      <c r="M8" s="28"/>
    </row>
    <row r="9" spans="1:13" x14ac:dyDescent="0.3">
      <c r="A9" s="4"/>
      <c r="C9" s="222">
        <f t="shared" si="0"/>
        <v>4</v>
      </c>
      <c r="D9" s="366" t="s">
        <v>288</v>
      </c>
      <c r="E9" s="220">
        <v>414</v>
      </c>
      <c r="F9" s="225" t="s">
        <v>287</v>
      </c>
      <c r="G9" s="28"/>
      <c r="H9" s="28"/>
      <c r="I9" s="28"/>
      <c r="J9" s="28"/>
      <c r="K9" s="28"/>
      <c r="L9" s="28"/>
      <c r="M9" s="28"/>
    </row>
    <row r="10" spans="1:13" x14ac:dyDescent="0.3">
      <c r="A10" s="4"/>
      <c r="C10" s="222">
        <f t="shared" si="0"/>
        <v>5</v>
      </c>
      <c r="D10" s="366" t="s">
        <v>290</v>
      </c>
      <c r="E10" s="220">
        <v>217</v>
      </c>
      <c r="F10" s="225" t="s">
        <v>291</v>
      </c>
      <c r="G10" s="28"/>
      <c r="H10" s="28"/>
      <c r="I10" s="28"/>
      <c r="J10" s="28"/>
      <c r="K10" s="28"/>
      <c r="L10" s="28"/>
      <c r="M10" s="28"/>
    </row>
    <row r="11" spans="1:13" x14ac:dyDescent="0.3">
      <c r="A11" s="4"/>
      <c r="C11" s="222">
        <f t="shared" si="0"/>
        <v>6</v>
      </c>
      <c r="D11" s="366" t="s">
        <v>431</v>
      </c>
      <c r="E11" s="220">
        <v>414</v>
      </c>
      <c r="F11" s="225" t="s">
        <v>287</v>
      </c>
      <c r="G11" s="28"/>
      <c r="H11" s="28"/>
      <c r="I11" s="28"/>
      <c r="J11" s="28"/>
      <c r="K11" s="28"/>
      <c r="L11" s="28"/>
      <c r="M11" s="28"/>
    </row>
    <row r="12" spans="1:13" x14ac:dyDescent="0.3">
      <c r="A12" s="4"/>
      <c r="C12" s="222">
        <f t="shared" si="0"/>
        <v>7</v>
      </c>
      <c r="D12" s="366" t="s">
        <v>304</v>
      </c>
      <c r="E12" s="220">
        <v>110</v>
      </c>
      <c r="F12" s="225" t="s">
        <v>293</v>
      </c>
      <c r="G12" s="28"/>
      <c r="H12" s="28"/>
      <c r="I12" s="28"/>
      <c r="J12" s="28"/>
      <c r="K12" s="28"/>
      <c r="L12" s="28"/>
      <c r="M12" s="28"/>
    </row>
    <row r="13" spans="1:13" s="5" customFormat="1" ht="19.5" customHeight="1" x14ac:dyDescent="0.3">
      <c r="A13" s="227"/>
      <c r="B13" s="228"/>
      <c r="C13" s="222">
        <f t="shared" si="0"/>
        <v>8</v>
      </c>
      <c r="D13" s="368" t="s">
        <v>292</v>
      </c>
      <c r="E13" s="220">
        <v>110</v>
      </c>
      <c r="F13" s="225" t="s">
        <v>293</v>
      </c>
      <c r="G13" s="287" t="s">
        <v>127</v>
      </c>
      <c r="H13" s="287"/>
      <c r="I13" s="287"/>
      <c r="J13" s="287"/>
      <c r="K13" s="287"/>
      <c r="L13" s="287"/>
      <c r="M13" s="287"/>
    </row>
    <row r="14" spans="1:13" s="5" customFormat="1" ht="19.5" customHeight="1" x14ac:dyDescent="0.3">
      <c r="A14" s="227"/>
      <c r="B14" s="228"/>
      <c r="C14" s="222">
        <f t="shared" si="0"/>
        <v>9</v>
      </c>
      <c r="D14" s="367" t="s">
        <v>432</v>
      </c>
      <c r="E14" s="220">
        <v>100</v>
      </c>
      <c r="F14" s="225" t="s">
        <v>287</v>
      </c>
      <c r="G14" s="230"/>
      <c r="H14" s="230"/>
      <c r="I14" s="230"/>
      <c r="J14" s="230"/>
      <c r="K14" s="230"/>
      <c r="L14" s="230"/>
      <c r="M14" s="230"/>
    </row>
    <row r="15" spans="1:13" s="5" customFormat="1" ht="19.5" customHeight="1" x14ac:dyDescent="0.3">
      <c r="A15" s="227"/>
      <c r="B15" s="228"/>
      <c r="C15" s="222">
        <f t="shared" si="0"/>
        <v>10</v>
      </c>
      <c r="D15" s="367" t="s">
        <v>295</v>
      </c>
      <c r="E15" s="220">
        <v>302</v>
      </c>
      <c r="F15" s="225" t="s">
        <v>296</v>
      </c>
      <c r="G15" s="230"/>
      <c r="H15" s="230"/>
      <c r="I15" s="230"/>
      <c r="J15" s="230"/>
      <c r="K15" s="230"/>
      <c r="L15" s="230"/>
      <c r="M15" s="230"/>
    </row>
    <row r="16" spans="1:13" s="5" customFormat="1" ht="19.5" customHeight="1" x14ac:dyDescent="0.3">
      <c r="A16" s="227"/>
      <c r="B16" s="228"/>
      <c r="C16" s="222">
        <f t="shared" si="0"/>
        <v>11</v>
      </c>
      <c r="D16" s="367" t="s">
        <v>297</v>
      </c>
      <c r="E16" s="220">
        <v>302</v>
      </c>
      <c r="F16" s="225" t="s">
        <v>296</v>
      </c>
      <c r="G16" s="230"/>
      <c r="H16" s="230"/>
      <c r="I16" s="230"/>
      <c r="M16" s="230"/>
    </row>
    <row r="17" spans="1:13" s="5" customFormat="1" ht="19.5" customHeight="1" x14ac:dyDescent="0.3">
      <c r="A17" s="227"/>
      <c r="B17" s="228"/>
      <c r="C17" s="222">
        <f t="shared" si="0"/>
        <v>12</v>
      </c>
      <c r="D17" s="367" t="s">
        <v>298</v>
      </c>
      <c r="E17" s="220">
        <v>302</v>
      </c>
      <c r="F17" s="225" t="s">
        <v>296</v>
      </c>
      <c r="G17" s="230"/>
      <c r="H17" s="230"/>
      <c r="I17" s="230"/>
      <c r="M17" s="230"/>
    </row>
    <row r="18" spans="1:13" s="5" customFormat="1" ht="19.5" customHeight="1" x14ac:dyDescent="0.3">
      <c r="A18" s="227"/>
      <c r="B18" s="228"/>
      <c r="C18" s="222">
        <f t="shared" si="0"/>
        <v>13</v>
      </c>
      <c r="D18" s="367" t="s">
        <v>299</v>
      </c>
      <c r="E18" s="220">
        <v>313</v>
      </c>
      <c r="F18" s="225" t="s">
        <v>300</v>
      </c>
      <c r="G18" s="230"/>
      <c r="H18" s="230"/>
      <c r="I18" s="230"/>
      <c r="M18" s="230"/>
    </row>
    <row r="19" spans="1:13" s="5" customFormat="1" ht="19.5" customHeight="1" x14ac:dyDescent="0.3">
      <c r="A19" s="227"/>
      <c r="B19" s="228"/>
      <c r="C19" s="222" t="s">
        <v>127</v>
      </c>
      <c r="D19" s="231" t="s">
        <v>301</v>
      </c>
      <c r="E19" s="220"/>
      <c r="F19" s="225"/>
      <c r="G19" s="232"/>
      <c r="H19" s="232"/>
      <c r="I19" s="232"/>
      <c r="J19" s="232"/>
      <c r="K19" s="232"/>
      <c r="L19" s="232"/>
      <c r="M19" s="232"/>
    </row>
    <row r="20" spans="1:13" s="5" customFormat="1" ht="19.5" customHeight="1" x14ac:dyDescent="0.3">
      <c r="B20" s="18"/>
      <c r="C20" s="222">
        <v>1</v>
      </c>
      <c r="D20" s="229" t="s">
        <v>302</v>
      </c>
      <c r="E20" s="220">
        <v>414</v>
      </c>
      <c r="F20" s="225" t="s">
        <v>303</v>
      </c>
      <c r="G20" s="232"/>
      <c r="H20" s="232"/>
      <c r="I20" s="232"/>
      <c r="J20" s="232"/>
      <c r="K20" s="232"/>
      <c r="L20" s="232"/>
      <c r="M20" s="232"/>
    </row>
    <row r="21" spans="1:13" s="5" customFormat="1" ht="19.5" customHeight="1" x14ac:dyDescent="0.3">
      <c r="B21" s="18"/>
      <c r="C21" s="222">
        <v>2</v>
      </c>
      <c r="D21" s="367" t="s">
        <v>304</v>
      </c>
      <c r="E21" s="220">
        <v>110</v>
      </c>
      <c r="F21" s="225" t="s">
        <v>293</v>
      </c>
      <c r="G21" s="232"/>
      <c r="H21" s="232"/>
      <c r="I21" s="232"/>
      <c r="J21" s="232"/>
      <c r="K21" s="232"/>
      <c r="L21" s="232"/>
      <c r="M21" s="232"/>
    </row>
    <row r="22" spans="1:13" s="5" customFormat="1" ht="19.5" customHeight="1" x14ac:dyDescent="0.3">
      <c r="B22" s="18"/>
      <c r="C22" s="222">
        <v>3</v>
      </c>
      <c r="D22" s="226" t="s">
        <v>305</v>
      </c>
      <c r="E22" s="220">
        <v>32</v>
      </c>
      <c r="F22" s="225"/>
      <c r="G22" s="232"/>
      <c r="H22" s="232"/>
      <c r="I22" s="232"/>
      <c r="J22" s="232"/>
      <c r="K22" s="232"/>
      <c r="L22" s="232"/>
      <c r="M22" s="232"/>
    </row>
    <row r="23" spans="1:13" s="5" customFormat="1" ht="19.5" customHeight="1" x14ac:dyDescent="0.3">
      <c r="B23" s="18"/>
      <c r="C23" s="222">
        <v>4</v>
      </c>
      <c r="D23" s="226" t="s">
        <v>306</v>
      </c>
      <c r="E23" s="220">
        <v>32</v>
      </c>
      <c r="F23" s="225"/>
      <c r="G23" s="232"/>
      <c r="H23" s="232"/>
      <c r="I23" s="232"/>
      <c r="J23" s="232"/>
      <c r="K23" s="232"/>
      <c r="L23" s="232"/>
      <c r="M23" s="232"/>
    </row>
    <row r="24" spans="1:13" s="5" customFormat="1" ht="19.5" customHeight="1" x14ac:dyDescent="0.3">
      <c r="B24" s="18"/>
      <c r="C24" s="222">
        <v>5</v>
      </c>
      <c r="D24" s="226" t="s">
        <v>307</v>
      </c>
      <c r="E24" s="220" t="s">
        <v>308</v>
      </c>
      <c r="F24" s="225" t="s">
        <v>300</v>
      </c>
      <c r="G24" s="232"/>
      <c r="H24" s="232"/>
      <c r="I24" s="232"/>
      <c r="J24" s="232"/>
      <c r="K24" s="232"/>
      <c r="L24" s="232"/>
      <c r="M24" s="232"/>
    </row>
    <row r="25" spans="1:13" s="5" customFormat="1" ht="19.5" customHeight="1" x14ac:dyDescent="0.3">
      <c r="B25" s="18"/>
      <c r="C25" s="222">
        <v>6</v>
      </c>
      <c r="D25" s="226" t="s">
        <v>309</v>
      </c>
      <c r="E25" s="220" t="s">
        <v>310</v>
      </c>
      <c r="F25" s="225" t="s">
        <v>300</v>
      </c>
      <c r="G25" s="232"/>
      <c r="H25" s="232"/>
      <c r="I25" s="232"/>
      <c r="J25" s="232"/>
      <c r="K25" s="232"/>
      <c r="L25" s="232"/>
      <c r="M25" s="232"/>
    </row>
    <row r="26" spans="1:13" s="5" customFormat="1" ht="19.5" customHeight="1" x14ac:dyDescent="0.3">
      <c r="B26" s="18"/>
      <c r="C26" s="222">
        <v>7</v>
      </c>
      <c r="D26" s="226" t="s">
        <v>311</v>
      </c>
      <c r="E26" s="220" t="s">
        <v>308</v>
      </c>
      <c r="F26" s="225" t="s">
        <v>312</v>
      </c>
      <c r="G26" s="232"/>
      <c r="H26" s="232"/>
      <c r="I26" s="232"/>
      <c r="J26" s="232"/>
      <c r="K26" s="232"/>
      <c r="L26" s="232"/>
      <c r="M26" s="232"/>
    </row>
    <row r="27" spans="1:13" s="5" customFormat="1" ht="19.5" customHeight="1" x14ac:dyDescent="0.3">
      <c r="B27" s="18"/>
      <c r="C27" s="222">
        <v>8</v>
      </c>
      <c r="D27" s="226" t="s">
        <v>313</v>
      </c>
      <c r="E27" s="220" t="s">
        <v>308</v>
      </c>
      <c r="F27" s="225" t="s">
        <v>312</v>
      </c>
      <c r="G27" s="232"/>
      <c r="H27" s="232"/>
      <c r="I27" s="232"/>
      <c r="J27" s="232"/>
      <c r="K27" s="232"/>
      <c r="L27" s="232"/>
      <c r="M27" s="232"/>
    </row>
    <row r="28" spans="1:13" s="5" customFormat="1" ht="19.5" customHeight="1" x14ac:dyDescent="0.3">
      <c r="B28" s="18"/>
      <c r="C28" s="222">
        <v>9</v>
      </c>
      <c r="D28" s="226" t="s">
        <v>314</v>
      </c>
      <c r="E28" s="220" t="s">
        <v>310</v>
      </c>
      <c r="F28" s="225" t="s">
        <v>296</v>
      </c>
      <c r="G28" s="232"/>
      <c r="H28" s="232"/>
      <c r="I28" s="232"/>
      <c r="J28" s="232"/>
      <c r="K28" s="232"/>
      <c r="L28" s="232"/>
      <c r="M28" s="232"/>
    </row>
    <row r="29" spans="1:13" s="5" customFormat="1" ht="19.5" customHeight="1" x14ac:dyDescent="0.3">
      <c r="B29" s="18"/>
      <c r="C29" s="222">
        <v>10</v>
      </c>
      <c r="D29" s="226" t="s">
        <v>315</v>
      </c>
      <c r="E29" s="220" t="s">
        <v>310</v>
      </c>
      <c r="F29" s="225" t="s">
        <v>296</v>
      </c>
      <c r="G29" s="232"/>
      <c r="H29" s="232"/>
      <c r="I29" s="232"/>
      <c r="J29" s="232"/>
      <c r="K29" s="232"/>
      <c r="L29" s="232"/>
      <c r="M29" s="232"/>
    </row>
    <row r="30" spans="1:13" s="5" customFormat="1" ht="19.5" customHeight="1" x14ac:dyDescent="0.3">
      <c r="B30" s="18"/>
      <c r="C30" s="222"/>
      <c r="D30" s="233" t="s">
        <v>316</v>
      </c>
      <c r="E30" s="220"/>
      <c r="F30" s="225"/>
      <c r="G30" s="232"/>
      <c r="H30" s="232"/>
      <c r="I30" s="232"/>
      <c r="J30" s="232"/>
      <c r="K30" s="232"/>
      <c r="L30" s="232"/>
      <c r="M30" s="232"/>
    </row>
    <row r="31" spans="1:13" s="5" customFormat="1" ht="19.5" customHeight="1" x14ac:dyDescent="0.3">
      <c r="B31" s="18"/>
      <c r="C31" s="222">
        <v>1</v>
      </c>
      <c r="D31" s="234" t="s">
        <v>317</v>
      </c>
      <c r="E31" s="220" t="s">
        <v>318</v>
      </c>
      <c r="F31" s="225"/>
      <c r="G31" s="232"/>
      <c r="H31" s="232"/>
      <c r="I31" s="232"/>
      <c r="J31" s="232"/>
      <c r="K31" s="232"/>
      <c r="L31" s="232"/>
      <c r="M31" s="232"/>
    </row>
    <row r="32" spans="1:13" s="5" customFormat="1" ht="19.5" customHeight="1" x14ac:dyDescent="0.3">
      <c r="B32" s="18"/>
      <c r="C32" s="222">
        <v>2</v>
      </c>
      <c r="D32" s="234" t="s">
        <v>319</v>
      </c>
      <c r="E32" s="220" t="s">
        <v>318</v>
      </c>
      <c r="F32" s="225"/>
      <c r="G32" s="232"/>
      <c r="H32" s="232"/>
      <c r="I32" s="232"/>
      <c r="J32" s="232"/>
      <c r="K32" s="232"/>
      <c r="L32" s="232"/>
      <c r="M32" s="232"/>
    </row>
    <row r="33" spans="1:13" s="5" customFormat="1" ht="19.5" customHeight="1" x14ac:dyDescent="0.3">
      <c r="B33" s="18"/>
      <c r="C33" s="222">
        <v>3</v>
      </c>
      <c r="D33" s="234" t="s">
        <v>320</v>
      </c>
      <c r="E33" s="220" t="s">
        <v>308</v>
      </c>
      <c r="F33" s="225"/>
      <c r="G33" s="232"/>
      <c r="H33" s="232"/>
      <c r="I33" s="232"/>
      <c r="J33" s="232"/>
      <c r="K33" s="232"/>
      <c r="L33" s="232"/>
      <c r="M33" s="232"/>
    </row>
    <row r="34" spans="1:13" s="5" customFormat="1" ht="19.5" customHeight="1" x14ac:dyDescent="0.3">
      <c r="B34" s="18"/>
      <c r="C34" s="222"/>
      <c r="D34" s="233" t="s">
        <v>321</v>
      </c>
      <c r="E34" s="220"/>
      <c r="F34" s="225"/>
      <c r="G34" s="232"/>
      <c r="H34" s="232"/>
      <c r="I34" s="232"/>
      <c r="J34" s="232"/>
      <c r="K34" s="232"/>
      <c r="L34" s="232"/>
      <c r="M34" s="232"/>
    </row>
    <row r="35" spans="1:13" s="5" customFormat="1" ht="37.5" x14ac:dyDescent="0.3">
      <c r="B35" s="18"/>
      <c r="C35" s="222">
        <v>1</v>
      </c>
      <c r="D35" s="234" t="s">
        <v>322</v>
      </c>
      <c r="E35" s="220" t="s">
        <v>310</v>
      </c>
      <c r="F35" s="225" t="s">
        <v>323</v>
      </c>
      <c r="G35" s="232"/>
      <c r="H35" s="232"/>
      <c r="I35" s="232"/>
      <c r="J35" s="232"/>
      <c r="K35" s="232"/>
      <c r="L35" s="232"/>
      <c r="M35" s="232"/>
    </row>
    <row r="36" spans="1:13" s="5" customFormat="1" ht="19.5" customHeight="1" x14ac:dyDescent="0.3">
      <c r="B36" s="18"/>
      <c r="C36" s="235"/>
      <c r="D36" s="233" t="s">
        <v>324</v>
      </c>
      <c r="E36" s="220"/>
      <c r="F36" s="225"/>
      <c r="G36" s="232"/>
      <c r="H36" s="232"/>
      <c r="I36" s="232"/>
      <c r="J36" s="232"/>
      <c r="K36" s="232"/>
      <c r="L36" s="232"/>
      <c r="M36" s="232"/>
    </row>
    <row r="37" spans="1:13" ht="19.5" customHeight="1" x14ac:dyDescent="0.3">
      <c r="A37" s="5"/>
      <c r="C37" s="235">
        <v>1</v>
      </c>
      <c r="D37" s="236" t="s">
        <v>325</v>
      </c>
      <c r="E37" s="220">
        <v>1</v>
      </c>
      <c r="F37" s="225" t="s">
        <v>326</v>
      </c>
      <c r="G37" s="232"/>
      <c r="H37" s="232"/>
      <c r="I37" s="232"/>
      <c r="J37" s="232"/>
      <c r="K37" s="232"/>
      <c r="L37" s="232"/>
      <c r="M37" s="232"/>
    </row>
    <row r="38" spans="1:13" x14ac:dyDescent="0.3">
      <c r="A38" s="5"/>
      <c r="C38" s="235" t="s">
        <v>127</v>
      </c>
      <c r="D38" s="233" t="s">
        <v>327</v>
      </c>
      <c r="E38" s="220"/>
      <c r="F38" s="225"/>
      <c r="G38" s="232"/>
      <c r="H38" s="232"/>
      <c r="I38" s="232"/>
      <c r="J38" s="232"/>
      <c r="K38" s="232"/>
      <c r="L38" s="232"/>
      <c r="M38" s="232"/>
    </row>
    <row r="39" spans="1:13" ht="19.5" customHeight="1" x14ac:dyDescent="0.3">
      <c r="A39" s="5"/>
      <c r="C39" s="235">
        <v>1</v>
      </c>
      <c r="D39" s="236" t="s">
        <v>328</v>
      </c>
      <c r="E39" s="220"/>
      <c r="F39" s="225" t="s">
        <v>329</v>
      </c>
      <c r="G39" s="232"/>
      <c r="H39" s="232"/>
      <c r="I39" s="232"/>
      <c r="J39" s="232"/>
      <c r="K39" s="232"/>
      <c r="L39" s="232"/>
      <c r="M39" s="232"/>
    </row>
    <row r="40" spans="1:13" ht="19.5" customHeight="1" x14ac:dyDescent="0.3">
      <c r="A40" s="237"/>
      <c r="B40" s="238"/>
      <c r="C40" s="235">
        <v>2</v>
      </c>
      <c r="D40" s="236" t="s">
        <v>330</v>
      </c>
      <c r="E40" s="220"/>
      <c r="F40" s="225" t="s">
        <v>331</v>
      </c>
      <c r="H40" s="232"/>
      <c r="I40" s="232"/>
      <c r="J40" s="232"/>
      <c r="K40" s="232"/>
      <c r="L40" s="232"/>
      <c r="M40" s="232"/>
    </row>
    <row r="41" spans="1:13" ht="19.5" customHeight="1" x14ac:dyDescent="0.3">
      <c r="A41" s="5"/>
      <c r="C41"/>
      <c r="D41"/>
      <c r="G41" s="232"/>
      <c r="H41" s="232"/>
      <c r="I41" s="232"/>
      <c r="J41" s="232"/>
      <c r="K41" s="232"/>
      <c r="L41" s="232"/>
      <c r="M41" s="232"/>
    </row>
    <row r="42" spans="1:13" ht="12.75" customHeight="1" x14ac:dyDescent="0.3">
      <c r="C42" s="219"/>
      <c r="D42" s="17"/>
      <c r="E42" s="28"/>
      <c r="F42" s="28"/>
      <c r="G42" s="28"/>
      <c r="H42" s="28"/>
      <c r="I42" s="28"/>
      <c r="J42" s="28"/>
      <c r="K42" s="28"/>
      <c r="L42" s="28"/>
      <c r="M42" s="28"/>
    </row>
    <row r="43" spans="1:13" ht="12.75" customHeight="1" x14ac:dyDescent="0.3">
      <c r="C43" s="219"/>
      <c r="D43" s="17"/>
      <c r="E43" s="28"/>
      <c r="F43" s="28"/>
      <c r="G43" s="28"/>
      <c r="H43" s="28"/>
      <c r="I43" s="28"/>
      <c r="J43" s="28"/>
      <c r="K43" s="28"/>
      <c r="L43" s="28"/>
      <c r="M43" s="28"/>
    </row>
    <row r="44" spans="1:13" ht="13.5" customHeight="1" x14ac:dyDescent="0.3">
      <c r="C44" s="219"/>
      <c r="D44" s="17"/>
      <c r="E44" s="28"/>
      <c r="F44" s="28"/>
      <c r="G44" s="28"/>
      <c r="H44" s="28"/>
      <c r="I44" s="28"/>
      <c r="J44" s="28"/>
      <c r="K44" s="28"/>
      <c r="L44" s="28"/>
      <c r="M44" s="28"/>
    </row>
    <row r="45" spans="1:13" ht="13.5" customHeight="1" x14ac:dyDescent="0.3">
      <c r="C45" s="219"/>
      <c r="D45" s="17"/>
      <c r="E45" s="28"/>
      <c r="F45" s="28"/>
      <c r="G45" s="28"/>
      <c r="H45" s="28"/>
      <c r="I45" s="28"/>
      <c r="J45" s="28"/>
      <c r="K45" s="28"/>
      <c r="L45" s="28"/>
      <c r="M45" s="28"/>
    </row>
    <row r="46" spans="1:13" ht="13.5" customHeight="1" x14ac:dyDescent="0.3">
      <c r="A46" s="239"/>
      <c r="B46" s="240"/>
      <c r="C46" s="241"/>
      <c r="D46" s="17"/>
      <c r="E46" s="28"/>
      <c r="F46" s="28"/>
      <c r="G46" s="28"/>
      <c r="H46" s="28"/>
      <c r="I46" s="28"/>
      <c r="J46" s="28"/>
      <c r="K46" s="28"/>
      <c r="L46" s="28"/>
      <c r="M46" s="28"/>
    </row>
    <row r="47" spans="1:13" ht="13.5" customHeight="1" x14ac:dyDescent="0.2">
      <c r="A47" s="239"/>
      <c r="B47" s="240"/>
      <c r="C47" s="241"/>
      <c r="D47" s="242"/>
      <c r="E47" s="28"/>
      <c r="F47" s="28"/>
      <c r="G47" s="28"/>
      <c r="H47" s="28"/>
      <c r="I47" s="28"/>
      <c r="J47" s="28"/>
      <c r="K47" s="28"/>
      <c r="L47" s="28"/>
      <c r="M47" s="28"/>
    </row>
    <row r="48" spans="1:13" ht="13.5" customHeight="1" x14ac:dyDescent="0.2">
      <c r="A48" s="239"/>
      <c r="B48" s="240"/>
      <c r="C48" s="241"/>
      <c r="D48" s="242"/>
      <c r="E48" s="28"/>
      <c r="F48" s="28"/>
      <c r="G48" s="28"/>
      <c r="H48" s="28"/>
      <c r="I48" s="28"/>
      <c r="J48" s="28"/>
      <c r="K48" s="28"/>
      <c r="L48" s="28"/>
      <c r="M48" s="28"/>
    </row>
    <row r="49" spans="1:13" ht="13.5" customHeight="1" x14ac:dyDescent="0.2">
      <c r="A49" s="239"/>
      <c r="B49" s="240"/>
      <c r="C49" s="241"/>
      <c r="D49" s="242"/>
      <c r="E49" s="28"/>
      <c r="F49" s="28"/>
      <c r="G49" s="28"/>
      <c r="H49" s="28"/>
      <c r="I49" s="28"/>
      <c r="J49" s="28"/>
      <c r="K49" s="28"/>
      <c r="L49" s="28"/>
      <c r="M49" s="28"/>
    </row>
    <row r="50" spans="1:13" s="243" customFormat="1" ht="13.5" customHeight="1" x14ac:dyDescent="0.2">
      <c r="A50" s="239"/>
      <c r="B50" s="240"/>
      <c r="C50" s="241"/>
      <c r="D50" s="242"/>
      <c r="E50" s="28"/>
      <c r="F50" s="28"/>
      <c r="G50" s="28"/>
      <c r="H50" s="28"/>
      <c r="I50" s="28"/>
      <c r="J50" s="28"/>
      <c r="K50" s="28"/>
      <c r="L50" s="28"/>
      <c r="M50" s="28"/>
    </row>
    <row r="51" spans="1:13" ht="13.5" customHeight="1" x14ac:dyDescent="0.2">
      <c r="A51" s="239"/>
      <c r="B51" s="240"/>
      <c r="C51" s="241"/>
      <c r="D51" s="242"/>
      <c r="E51" s="28"/>
      <c r="F51" s="28"/>
      <c r="G51" s="28"/>
      <c r="H51" s="28"/>
      <c r="I51" s="28"/>
      <c r="J51" s="28"/>
      <c r="K51" s="28"/>
      <c r="L51" s="28"/>
      <c r="M51" s="28"/>
    </row>
    <row r="52" spans="1:13" ht="13.5" customHeight="1" x14ac:dyDescent="0.2">
      <c r="A52" s="239"/>
      <c r="B52" s="240"/>
      <c r="C52" s="241"/>
      <c r="D52" s="242"/>
      <c r="E52" s="28"/>
      <c r="F52" s="28"/>
      <c r="G52" s="28"/>
      <c r="H52" s="28"/>
      <c r="I52" s="28"/>
      <c r="J52" s="28"/>
      <c r="K52" s="28"/>
      <c r="L52" s="28"/>
      <c r="M52" s="28"/>
    </row>
    <row r="53" spans="1:13" ht="24" customHeight="1" x14ac:dyDescent="0.2">
      <c r="A53" s="239"/>
      <c r="B53" s="240"/>
      <c r="C53" s="241"/>
      <c r="D53" s="242"/>
      <c r="E53" s="28"/>
      <c r="F53" s="28"/>
      <c r="G53" s="28"/>
      <c r="H53" s="28"/>
      <c r="I53" s="28"/>
      <c r="J53" s="28"/>
      <c r="K53" s="28"/>
      <c r="L53" s="28"/>
      <c r="M53" s="28"/>
    </row>
    <row r="54" spans="1:13" ht="24" customHeight="1" x14ac:dyDescent="0.2">
      <c r="A54" s="239"/>
      <c r="B54" s="240"/>
      <c r="C54" s="241"/>
      <c r="D54" s="242"/>
      <c r="E54" s="28"/>
      <c r="F54" s="28"/>
      <c r="G54" s="28"/>
      <c r="H54" s="28"/>
      <c r="I54" s="28"/>
      <c r="J54" s="28"/>
      <c r="K54" s="28"/>
      <c r="L54" s="28"/>
      <c r="M54" s="28"/>
    </row>
    <row r="55" spans="1:13" ht="24" customHeight="1" x14ac:dyDescent="0.2">
      <c r="A55" s="239"/>
      <c r="B55" s="240"/>
      <c r="C55" s="241"/>
      <c r="D55" s="242"/>
      <c r="E55" s="28"/>
      <c r="F55" s="28"/>
      <c r="G55" s="28"/>
      <c r="H55" s="28"/>
      <c r="I55" s="28"/>
      <c r="J55" s="28"/>
      <c r="K55" s="28"/>
      <c r="L55" s="28"/>
      <c r="M55" s="28"/>
    </row>
    <row r="56" spans="1:13" ht="13.5" customHeight="1" x14ac:dyDescent="0.2">
      <c r="A56" s="239"/>
      <c r="B56" s="240"/>
      <c r="C56" s="241"/>
      <c r="D56" s="242"/>
      <c r="E56" s="28"/>
      <c r="F56" s="28"/>
      <c r="G56" s="28"/>
      <c r="H56" s="28"/>
      <c r="I56" s="28"/>
      <c r="J56" s="28"/>
      <c r="K56" s="28"/>
      <c r="L56" s="28"/>
      <c r="M56" s="28"/>
    </row>
    <row r="57" spans="1:13" ht="26.25" customHeight="1" x14ac:dyDescent="0.3">
      <c r="A57" s="243"/>
      <c r="B57" s="244"/>
      <c r="C57" s="245"/>
      <c r="D57" s="242"/>
      <c r="E57" s="28"/>
      <c r="F57" s="28"/>
      <c r="G57" s="28"/>
      <c r="H57" s="28"/>
      <c r="I57" s="28"/>
      <c r="J57" s="28"/>
      <c r="K57" s="28"/>
      <c r="L57" s="28"/>
      <c r="M57" s="28"/>
    </row>
    <row r="58" spans="1:13" ht="12.75" customHeight="1" x14ac:dyDescent="0.3">
      <c r="A58" s="239"/>
      <c r="B58" s="240"/>
      <c r="C58" s="241"/>
      <c r="D58" s="246"/>
      <c r="E58" s="247"/>
      <c r="F58" s="247"/>
      <c r="G58" s="247"/>
      <c r="H58" s="247"/>
      <c r="I58" s="247"/>
      <c r="J58" s="247"/>
      <c r="K58" s="247"/>
      <c r="L58" s="247"/>
      <c r="M58" s="247"/>
    </row>
    <row r="59" spans="1:13" ht="26.25" customHeight="1" x14ac:dyDescent="0.3">
      <c r="C59" s="219"/>
      <c r="D59" s="242"/>
      <c r="E59" s="28"/>
      <c r="F59" s="28"/>
      <c r="G59" s="28"/>
      <c r="H59" s="28"/>
      <c r="I59" s="28"/>
      <c r="J59" s="28"/>
      <c r="K59" s="28"/>
      <c r="L59" s="28"/>
      <c r="M59" s="28"/>
    </row>
    <row r="60" spans="1:13" ht="12.75" customHeight="1" x14ac:dyDescent="0.3">
      <c r="C60" s="219"/>
      <c r="D60" s="17"/>
      <c r="E60" s="28"/>
      <c r="F60" s="28"/>
      <c r="G60" s="28"/>
      <c r="H60" s="28"/>
      <c r="I60" s="28"/>
      <c r="J60" s="28"/>
      <c r="K60" s="28"/>
      <c r="L60" s="28"/>
      <c r="M60" s="28"/>
    </row>
    <row r="61" spans="1:13" ht="12.75" customHeight="1" x14ac:dyDescent="0.3">
      <c r="C61" s="219"/>
      <c r="D61" s="17"/>
      <c r="E61" s="28"/>
      <c r="F61" s="28"/>
      <c r="G61" s="28"/>
      <c r="H61" s="28"/>
      <c r="I61" s="28"/>
      <c r="J61" s="28"/>
      <c r="K61" s="28"/>
      <c r="L61" s="28"/>
      <c r="M61" s="28"/>
    </row>
    <row r="62" spans="1:13" ht="15.75" customHeight="1" x14ac:dyDescent="0.3">
      <c r="C62" s="219"/>
      <c r="D62" s="17"/>
      <c r="E62" s="28"/>
      <c r="F62" s="28"/>
      <c r="G62" s="28"/>
      <c r="H62" s="28"/>
      <c r="I62" s="28"/>
      <c r="J62" s="28"/>
      <c r="K62" s="28"/>
      <c r="L62" s="28"/>
      <c r="M62" s="28"/>
    </row>
    <row r="63" spans="1:13" ht="15.75" customHeight="1" x14ac:dyDescent="0.3">
      <c r="C63" s="219"/>
      <c r="D63" s="17"/>
      <c r="E63" s="28"/>
      <c r="F63" s="28"/>
      <c r="G63" s="28"/>
      <c r="H63" s="28"/>
      <c r="I63" s="28"/>
      <c r="J63" s="28"/>
      <c r="K63" s="28"/>
      <c r="L63" s="28"/>
      <c r="M63" s="28"/>
    </row>
    <row r="64" spans="1:13" ht="15.75" customHeight="1" x14ac:dyDescent="0.3">
      <c r="C64" s="219"/>
      <c r="D64" s="17"/>
      <c r="E64" s="28"/>
      <c r="F64" s="28"/>
      <c r="G64" s="28"/>
      <c r="H64" s="28"/>
      <c r="I64" s="28"/>
      <c r="J64" s="28"/>
      <c r="K64" s="28"/>
      <c r="L64" s="28"/>
      <c r="M64" s="28"/>
    </row>
    <row r="65" spans="3:13" ht="15.75" customHeight="1" x14ac:dyDescent="0.3">
      <c r="C65" s="219"/>
      <c r="D65" s="17"/>
      <c r="E65" s="28"/>
      <c r="F65" s="28"/>
      <c r="G65" s="28"/>
      <c r="H65" s="28"/>
      <c r="I65" s="28"/>
      <c r="J65" s="28"/>
      <c r="K65" s="28"/>
      <c r="L65" s="28"/>
      <c r="M65" s="28"/>
    </row>
    <row r="66" spans="3:13" ht="12.75" customHeight="1" x14ac:dyDescent="0.3">
      <c r="C66" s="219"/>
      <c r="D66" s="17"/>
      <c r="E66" s="28"/>
      <c r="F66" s="28"/>
      <c r="G66" s="28"/>
      <c r="H66" s="28"/>
      <c r="I66" s="28"/>
      <c r="J66" s="28"/>
      <c r="K66" s="28"/>
      <c r="L66" s="28"/>
      <c r="M66" s="28"/>
    </row>
    <row r="67" spans="3:13" x14ac:dyDescent="0.3">
      <c r="C67" s="219"/>
      <c r="D67" s="17"/>
      <c r="E67" s="28"/>
      <c r="F67" s="28"/>
      <c r="G67" s="28"/>
      <c r="H67" s="28"/>
      <c r="I67" s="28"/>
      <c r="J67" s="28"/>
      <c r="K67" s="28"/>
      <c r="L67" s="28"/>
      <c r="M67" s="28"/>
    </row>
    <row r="68" spans="3:13" x14ac:dyDescent="0.3">
      <c r="C68" s="219"/>
      <c r="D68" s="17"/>
      <c r="E68" s="28"/>
      <c r="F68" s="28"/>
      <c r="G68" s="28"/>
      <c r="H68" s="28"/>
      <c r="I68" s="28"/>
      <c r="J68" s="28"/>
      <c r="K68" s="28"/>
      <c r="L68" s="28"/>
      <c r="M68" s="28"/>
    </row>
    <row r="69" spans="3:13" x14ac:dyDescent="0.3">
      <c r="C69" s="219"/>
      <c r="D69" s="17"/>
      <c r="E69" s="28"/>
      <c r="F69" s="28"/>
      <c r="G69" s="28"/>
      <c r="H69" s="28"/>
      <c r="I69" s="28"/>
      <c r="J69" s="28"/>
      <c r="K69" s="28"/>
      <c r="L69" s="28"/>
      <c r="M69" s="28"/>
    </row>
    <row r="70" spans="3:13" x14ac:dyDescent="0.3">
      <c r="C70" s="219"/>
      <c r="D70" s="17"/>
      <c r="E70" s="28"/>
      <c r="F70" s="28"/>
      <c r="G70" s="28"/>
      <c r="H70" s="28"/>
      <c r="I70" s="28"/>
      <c r="J70" s="28"/>
      <c r="K70" s="28"/>
      <c r="L70" s="28"/>
      <c r="M70" s="28"/>
    </row>
    <row r="71" spans="3:13" x14ac:dyDescent="0.3">
      <c r="C71" s="219"/>
      <c r="D71" s="17"/>
      <c r="E71" s="28"/>
      <c r="F71" s="28"/>
      <c r="G71" s="28"/>
      <c r="H71" s="28"/>
      <c r="I71" s="28"/>
      <c r="J71" s="28"/>
      <c r="K71" s="28"/>
      <c r="L71" s="28"/>
      <c r="M71" s="28"/>
    </row>
    <row r="72" spans="3:13" x14ac:dyDescent="0.3">
      <c r="C72" s="219"/>
      <c r="D72" s="17"/>
      <c r="E72" s="28"/>
      <c r="F72" s="28"/>
      <c r="G72" s="28"/>
      <c r="H72" s="28"/>
      <c r="I72" s="28"/>
      <c r="J72" s="28"/>
      <c r="K72" s="28"/>
      <c r="L72" s="28"/>
      <c r="M72" s="28"/>
    </row>
    <row r="73" spans="3:13" x14ac:dyDescent="0.3">
      <c r="C73" s="219"/>
      <c r="D73" s="17"/>
      <c r="E73" s="28"/>
      <c r="F73" s="28"/>
      <c r="G73" s="28"/>
      <c r="H73" s="28"/>
      <c r="I73" s="28"/>
      <c r="J73" s="28"/>
      <c r="K73" s="28"/>
      <c r="L73" s="28"/>
      <c r="M73" s="28"/>
    </row>
    <row r="74" spans="3:13" x14ac:dyDescent="0.3">
      <c r="C74" s="219"/>
      <c r="D74" s="17"/>
      <c r="E74" s="28"/>
      <c r="F74" s="28"/>
      <c r="G74" s="28"/>
      <c r="H74" s="28"/>
      <c r="I74" s="28"/>
      <c r="J74" s="28"/>
      <c r="K74" s="28"/>
      <c r="L74" s="28"/>
      <c r="M74" s="28"/>
    </row>
    <row r="75" spans="3:13" x14ac:dyDescent="0.3">
      <c r="C75" s="219"/>
      <c r="D75" s="17"/>
      <c r="E75" s="28"/>
      <c r="F75" s="28"/>
      <c r="G75" s="28"/>
      <c r="H75" s="28"/>
      <c r="I75" s="28"/>
      <c r="J75" s="28"/>
      <c r="K75" s="28"/>
      <c r="L75" s="28"/>
      <c r="M75" s="28"/>
    </row>
    <row r="76" spans="3:13" x14ac:dyDescent="0.3">
      <c r="C76" s="219"/>
      <c r="D76" s="17"/>
      <c r="E76" s="28"/>
      <c r="F76" s="28"/>
      <c r="G76" s="28"/>
      <c r="H76" s="28"/>
      <c r="I76" s="28"/>
      <c r="J76" s="28"/>
      <c r="K76" s="28"/>
      <c r="L76" s="28"/>
      <c r="M76" s="28"/>
    </row>
    <row r="77" spans="3:13" x14ac:dyDescent="0.3">
      <c r="C77" s="219"/>
      <c r="D77" s="17"/>
      <c r="E77" s="28"/>
      <c r="F77" s="28"/>
      <c r="G77" s="28"/>
      <c r="H77" s="28"/>
      <c r="I77" s="28"/>
      <c r="J77" s="28"/>
      <c r="K77" s="28"/>
      <c r="L77" s="28"/>
      <c r="M77" s="28"/>
    </row>
    <row r="78" spans="3:13" x14ac:dyDescent="0.3">
      <c r="C78" s="219"/>
      <c r="D78" s="17"/>
      <c r="E78" s="28"/>
      <c r="F78" s="28"/>
      <c r="G78" s="28"/>
      <c r="H78" s="28"/>
      <c r="I78" s="28"/>
      <c r="J78" s="28"/>
      <c r="K78" s="28"/>
      <c r="L78" s="28"/>
      <c r="M78" s="28"/>
    </row>
    <row r="79" spans="3:13" x14ac:dyDescent="0.3">
      <c r="C79" s="219"/>
      <c r="D79" s="17"/>
      <c r="E79" s="28"/>
      <c r="F79" s="28"/>
      <c r="G79" s="28"/>
      <c r="H79" s="28"/>
      <c r="I79" s="28"/>
      <c r="J79" s="28"/>
      <c r="K79" s="28"/>
      <c r="L79" s="28"/>
      <c r="M79" s="28"/>
    </row>
    <row r="80" spans="3:13" x14ac:dyDescent="0.3">
      <c r="C80" s="219"/>
      <c r="D80" s="17"/>
      <c r="E80" s="28"/>
      <c r="F80" s="28"/>
      <c r="G80" s="28"/>
      <c r="H80" s="28"/>
      <c r="I80" s="28"/>
      <c r="J80" s="28"/>
      <c r="K80" s="28"/>
      <c r="L80" s="28"/>
      <c r="M80" s="28"/>
    </row>
    <row r="81" spans="3:13" x14ac:dyDescent="0.3">
      <c r="C81" s="219"/>
      <c r="D81" s="17"/>
      <c r="E81" s="28"/>
      <c r="F81" s="28"/>
      <c r="G81" s="28"/>
      <c r="H81" s="28"/>
      <c r="I81" s="28"/>
      <c r="J81" s="28"/>
      <c r="K81" s="28"/>
      <c r="L81" s="28"/>
      <c r="M81" s="28"/>
    </row>
    <row r="82" spans="3:13" x14ac:dyDescent="0.3">
      <c r="C82" s="219"/>
      <c r="D82" s="17"/>
      <c r="E82" s="28"/>
      <c r="F82" s="28"/>
      <c r="G82" s="28"/>
      <c r="H82" s="28"/>
      <c r="I82" s="28"/>
      <c r="J82" s="28"/>
      <c r="K82" s="28"/>
      <c r="L82" s="28"/>
      <c r="M82" s="28"/>
    </row>
    <row r="83" spans="3:13" x14ac:dyDescent="0.3">
      <c r="C83" s="219"/>
      <c r="D83" s="17"/>
      <c r="E83" s="28"/>
      <c r="F83" s="28"/>
      <c r="G83" s="28"/>
      <c r="H83" s="28"/>
      <c r="I83" s="28"/>
      <c r="J83" s="28"/>
      <c r="K83" s="28"/>
      <c r="L83" s="28"/>
      <c r="M83" s="28"/>
    </row>
    <row r="84" spans="3:13" x14ac:dyDescent="0.3">
      <c r="C84" s="219"/>
      <c r="D84" s="17"/>
      <c r="E84" s="28"/>
      <c r="F84" s="28"/>
      <c r="G84" s="28"/>
      <c r="H84" s="28"/>
      <c r="I84" s="28"/>
      <c r="J84" s="28"/>
      <c r="K84" s="28"/>
      <c r="L84" s="28"/>
      <c r="M84" s="28"/>
    </row>
    <row r="85" spans="3:13" x14ac:dyDescent="0.3">
      <c r="C85" s="219"/>
      <c r="D85" s="17"/>
      <c r="E85" s="28"/>
      <c r="F85" s="28"/>
      <c r="G85" s="28"/>
      <c r="H85" s="28"/>
      <c r="I85" s="28"/>
      <c r="J85" s="28"/>
      <c r="K85" s="28"/>
      <c r="L85" s="28"/>
      <c r="M85" s="28"/>
    </row>
    <row r="86" spans="3:13" x14ac:dyDescent="0.3">
      <c r="C86" s="219"/>
      <c r="D86" s="17"/>
      <c r="E86" s="28"/>
      <c r="F86" s="28"/>
      <c r="G86" s="28"/>
      <c r="H86" s="28"/>
      <c r="I86" s="28"/>
      <c r="J86" s="28"/>
      <c r="K86" s="28"/>
      <c r="L86" s="28"/>
      <c r="M86" s="28"/>
    </row>
    <row r="87" spans="3:13" x14ac:dyDescent="0.3">
      <c r="C87" s="219"/>
      <c r="D87" s="17"/>
      <c r="E87" s="28"/>
      <c r="F87" s="28"/>
      <c r="G87" s="28"/>
      <c r="H87" s="28"/>
      <c r="I87" s="28"/>
      <c r="J87" s="28"/>
      <c r="K87" s="28"/>
      <c r="L87" s="28"/>
      <c r="M87" s="28"/>
    </row>
    <row r="88" spans="3:13" x14ac:dyDescent="0.3">
      <c r="C88" s="219"/>
      <c r="D88" s="17"/>
      <c r="E88" s="28"/>
      <c r="F88" s="28"/>
      <c r="G88" s="28"/>
      <c r="H88" s="28"/>
      <c r="I88" s="28"/>
      <c r="J88" s="28"/>
      <c r="K88" s="28"/>
      <c r="L88" s="28"/>
      <c r="M88" s="28"/>
    </row>
    <row r="89" spans="3:13" x14ac:dyDescent="0.3">
      <c r="C89" s="219"/>
      <c r="D89" s="17"/>
      <c r="E89" s="28"/>
      <c r="F89" s="28"/>
      <c r="G89" s="28"/>
      <c r="H89" s="28"/>
      <c r="I89" s="28"/>
      <c r="J89" s="28"/>
      <c r="K89" s="28"/>
      <c r="L89" s="28"/>
      <c r="M89" s="28"/>
    </row>
    <row r="90" spans="3:13" x14ac:dyDescent="0.3">
      <c r="C90" s="219"/>
      <c r="D90" s="17"/>
      <c r="E90" s="28"/>
      <c r="F90" s="28"/>
      <c r="G90" s="28"/>
      <c r="H90" s="28"/>
      <c r="I90" s="28"/>
      <c r="J90" s="28"/>
      <c r="K90" s="28"/>
      <c r="L90" s="28"/>
      <c r="M90" s="28"/>
    </row>
    <row r="91" spans="3:13" x14ac:dyDescent="0.3">
      <c r="C91" s="219"/>
      <c r="D91" s="17"/>
      <c r="E91" s="28"/>
      <c r="F91" s="28"/>
      <c r="G91" s="28"/>
      <c r="H91" s="28"/>
      <c r="I91" s="28"/>
      <c r="J91" s="28"/>
      <c r="K91" s="28"/>
      <c r="L91" s="28"/>
      <c r="M91" s="28"/>
    </row>
    <row r="92" spans="3:13" x14ac:dyDescent="0.3">
      <c r="C92" s="219"/>
      <c r="D92" s="17"/>
      <c r="E92" s="28"/>
      <c r="F92" s="28"/>
      <c r="G92" s="28"/>
      <c r="H92" s="28"/>
      <c r="I92" s="28"/>
      <c r="J92" s="28"/>
      <c r="K92" s="28"/>
      <c r="L92" s="28"/>
      <c r="M92" s="28"/>
    </row>
    <row r="93" spans="3:13" x14ac:dyDescent="0.3">
      <c r="C93" s="219"/>
      <c r="D93" s="17"/>
      <c r="E93" s="28"/>
      <c r="F93" s="28"/>
      <c r="G93" s="28"/>
      <c r="H93" s="28"/>
      <c r="I93" s="28"/>
      <c r="J93" s="28"/>
      <c r="K93" s="28"/>
      <c r="L93" s="28"/>
      <c r="M93" s="28"/>
    </row>
    <row r="94" spans="3:13" x14ac:dyDescent="0.3">
      <c r="C94" s="219"/>
      <c r="D94" s="17"/>
      <c r="E94" s="28"/>
      <c r="F94" s="28"/>
      <c r="G94" s="28"/>
      <c r="H94" s="28"/>
      <c r="I94" s="28"/>
      <c r="J94" s="28"/>
      <c r="K94" s="28"/>
      <c r="L94" s="28"/>
      <c r="M94" s="28"/>
    </row>
    <row r="95" spans="3:13" x14ac:dyDescent="0.3">
      <c r="C95" s="219"/>
      <c r="D95" s="17"/>
      <c r="E95" s="28"/>
      <c r="F95" s="28"/>
      <c r="G95" s="28"/>
      <c r="H95" s="28"/>
      <c r="I95" s="28"/>
      <c r="J95" s="28"/>
      <c r="K95" s="28"/>
      <c r="L95" s="28"/>
      <c r="M95" s="28"/>
    </row>
    <row r="96" spans="3:13" x14ac:dyDescent="0.3">
      <c r="C96" s="219"/>
      <c r="D96" s="17"/>
      <c r="E96" s="28"/>
      <c r="F96" s="28"/>
      <c r="G96" s="28"/>
      <c r="H96" s="28"/>
      <c r="I96" s="28"/>
      <c r="J96" s="28"/>
      <c r="K96" s="28"/>
      <c r="L96" s="28"/>
      <c r="M96" s="28"/>
    </row>
    <row r="97" spans="3:13" x14ac:dyDescent="0.3">
      <c r="C97" s="219"/>
      <c r="D97" s="17"/>
      <c r="E97" s="28"/>
      <c r="F97" s="28"/>
      <c r="G97" s="28"/>
      <c r="H97" s="28"/>
      <c r="I97" s="28"/>
      <c r="J97" s="28"/>
      <c r="K97" s="28"/>
      <c r="L97" s="28"/>
      <c r="M97" s="28"/>
    </row>
    <row r="98" spans="3:13" x14ac:dyDescent="0.3">
      <c r="C98" s="219"/>
      <c r="D98" s="17"/>
      <c r="E98" s="28"/>
      <c r="F98" s="28"/>
      <c r="G98" s="28"/>
      <c r="H98" s="28"/>
      <c r="I98" s="28"/>
      <c r="J98" s="28"/>
      <c r="K98" s="28"/>
      <c r="L98" s="28"/>
      <c r="M98" s="28"/>
    </row>
    <row r="99" spans="3:13" x14ac:dyDescent="0.3">
      <c r="C99" s="219"/>
      <c r="D99" s="17"/>
      <c r="E99" s="28"/>
      <c r="F99" s="28"/>
      <c r="G99" s="28"/>
      <c r="H99" s="28"/>
      <c r="I99" s="28"/>
      <c r="J99" s="28"/>
      <c r="K99" s="28"/>
      <c r="L99" s="28"/>
      <c r="M99" s="28"/>
    </row>
    <row r="100" spans="3:13" x14ac:dyDescent="0.3">
      <c r="C100" s="219"/>
      <c r="D100" s="17"/>
      <c r="E100" s="28"/>
      <c r="F100" s="28"/>
      <c r="G100" s="28"/>
      <c r="H100" s="28"/>
      <c r="I100" s="28"/>
      <c r="J100" s="28"/>
      <c r="K100" s="28"/>
      <c r="L100" s="28"/>
      <c r="M100" s="28"/>
    </row>
    <row r="101" spans="3:13" x14ac:dyDescent="0.3">
      <c r="C101" s="219"/>
      <c r="D101" s="17"/>
      <c r="E101" s="28"/>
      <c r="F101" s="28"/>
      <c r="G101" s="28"/>
      <c r="H101" s="28"/>
      <c r="I101" s="28"/>
      <c r="J101" s="28"/>
      <c r="K101" s="28"/>
      <c r="L101" s="28"/>
      <c r="M101" s="28"/>
    </row>
    <row r="102" spans="3:13" x14ac:dyDescent="0.3">
      <c r="C102" s="219"/>
      <c r="D102" s="17"/>
      <c r="E102" s="28"/>
      <c r="F102" s="28"/>
      <c r="G102" s="28"/>
      <c r="H102" s="28"/>
      <c r="I102" s="28"/>
      <c r="J102" s="28"/>
      <c r="K102" s="28"/>
      <c r="L102" s="28"/>
      <c r="M102" s="28"/>
    </row>
    <row r="103" spans="3:13" x14ac:dyDescent="0.3">
      <c r="C103" s="219"/>
      <c r="D103" s="17"/>
      <c r="E103" s="28"/>
      <c r="F103" s="28"/>
      <c r="G103" s="28"/>
      <c r="H103" s="28"/>
      <c r="I103" s="28"/>
      <c r="J103" s="28"/>
      <c r="K103" s="28"/>
      <c r="L103" s="28"/>
      <c r="M103" s="28"/>
    </row>
    <row r="104" spans="3:13" x14ac:dyDescent="0.3">
      <c r="C104" s="219"/>
      <c r="D104" s="17"/>
      <c r="E104" s="28"/>
      <c r="F104" s="28"/>
      <c r="G104" s="28"/>
      <c r="H104" s="28"/>
      <c r="I104" s="28"/>
      <c r="J104" s="28"/>
      <c r="K104" s="28"/>
      <c r="L104" s="28"/>
      <c r="M104" s="28"/>
    </row>
    <row r="105" spans="3:13" x14ac:dyDescent="0.3">
      <c r="C105" s="219"/>
      <c r="D105" s="17"/>
      <c r="E105" s="28"/>
      <c r="F105" s="28"/>
      <c r="G105" s="28"/>
      <c r="H105" s="28"/>
      <c r="I105" s="28"/>
      <c r="J105" s="28"/>
      <c r="K105" s="28"/>
      <c r="L105" s="28"/>
      <c r="M105" s="28"/>
    </row>
    <row r="106" spans="3:13" x14ac:dyDescent="0.3">
      <c r="C106" s="219"/>
      <c r="D106" s="17"/>
      <c r="E106" s="28"/>
      <c r="F106" s="28"/>
      <c r="G106" s="28"/>
      <c r="H106" s="28"/>
      <c r="I106" s="28"/>
      <c r="J106" s="28"/>
      <c r="K106" s="28"/>
      <c r="L106" s="28"/>
      <c r="M106" s="28"/>
    </row>
    <row r="107" spans="3:13" x14ac:dyDescent="0.3">
      <c r="C107" s="219"/>
      <c r="D107" s="17"/>
      <c r="E107" s="28"/>
      <c r="F107" s="28"/>
      <c r="G107" s="28"/>
      <c r="H107" s="28"/>
      <c r="I107" s="28"/>
      <c r="J107" s="28"/>
      <c r="K107" s="28"/>
      <c r="L107" s="28"/>
      <c r="M107" s="28"/>
    </row>
    <row r="108" spans="3:13" x14ac:dyDescent="0.3">
      <c r="C108" s="219"/>
      <c r="D108" s="17"/>
      <c r="E108" s="28"/>
      <c r="F108" s="28"/>
      <c r="G108" s="28"/>
      <c r="H108" s="28"/>
      <c r="I108" s="28"/>
      <c r="J108" s="28"/>
      <c r="K108" s="28"/>
      <c r="L108" s="28"/>
      <c r="M108" s="28"/>
    </row>
    <row r="109" spans="3:13" x14ac:dyDescent="0.3">
      <c r="C109" s="219"/>
      <c r="D109" s="17"/>
      <c r="E109" s="28"/>
      <c r="F109" s="28"/>
      <c r="G109" s="28"/>
      <c r="H109" s="28"/>
      <c r="I109" s="28"/>
      <c r="J109" s="28"/>
      <c r="K109" s="28"/>
      <c r="L109" s="28"/>
      <c r="M109" s="28"/>
    </row>
    <row r="110" spans="3:13" x14ac:dyDescent="0.3">
      <c r="C110" s="219"/>
      <c r="D110" s="17"/>
      <c r="E110" s="28"/>
      <c r="F110" s="28"/>
      <c r="G110" s="28"/>
      <c r="H110" s="28"/>
      <c r="I110" s="28"/>
      <c r="J110" s="28"/>
      <c r="K110" s="28"/>
      <c r="L110" s="28"/>
      <c r="M110" s="28"/>
    </row>
    <row r="111" spans="3:13" x14ac:dyDescent="0.3">
      <c r="C111" s="219"/>
      <c r="D111" s="17"/>
      <c r="E111" s="28"/>
      <c r="F111" s="28"/>
      <c r="G111" s="28"/>
      <c r="H111" s="28"/>
      <c r="I111" s="28"/>
      <c r="J111" s="28"/>
      <c r="K111" s="28"/>
      <c r="L111" s="28"/>
      <c r="M111" s="28"/>
    </row>
    <row r="112" spans="3:13" x14ac:dyDescent="0.3">
      <c r="C112" s="219"/>
      <c r="D112" s="17"/>
      <c r="E112" s="28"/>
      <c r="F112" s="28"/>
      <c r="G112" s="28"/>
      <c r="H112" s="28"/>
      <c r="I112" s="28"/>
      <c r="J112" s="28"/>
      <c r="K112" s="28"/>
      <c r="L112" s="28"/>
      <c r="M112" s="28"/>
    </row>
    <row r="113" spans="3:13" x14ac:dyDescent="0.3">
      <c r="C113" s="219"/>
      <c r="D113" s="17"/>
      <c r="E113" s="28"/>
      <c r="F113" s="28"/>
      <c r="G113" s="28"/>
      <c r="H113" s="28"/>
      <c r="I113" s="28"/>
      <c r="J113" s="28"/>
      <c r="K113" s="28"/>
      <c r="L113" s="28"/>
      <c r="M113" s="28"/>
    </row>
    <row r="114" spans="3:13" x14ac:dyDescent="0.3">
      <c r="C114" s="219"/>
      <c r="D114" s="17"/>
      <c r="E114" s="28"/>
      <c r="F114" s="28"/>
      <c r="G114" s="28"/>
      <c r="H114" s="28"/>
      <c r="I114" s="28"/>
      <c r="J114" s="28"/>
      <c r="K114" s="28"/>
      <c r="L114" s="28"/>
      <c r="M114" s="28"/>
    </row>
    <row r="115" spans="3:13" x14ac:dyDescent="0.3">
      <c r="C115" s="219"/>
      <c r="D115" s="17"/>
      <c r="E115" s="28"/>
      <c r="F115" s="28"/>
      <c r="G115" s="28"/>
      <c r="H115" s="28"/>
      <c r="I115" s="28"/>
      <c r="J115" s="28"/>
      <c r="K115" s="28"/>
      <c r="L115" s="28"/>
      <c r="M115" s="28"/>
    </row>
    <row r="116" spans="3:13" x14ac:dyDescent="0.3">
      <c r="C116" s="219"/>
      <c r="D116" s="17"/>
      <c r="E116" s="28"/>
      <c r="F116" s="28"/>
      <c r="G116" s="28"/>
      <c r="H116" s="28"/>
      <c r="I116" s="28"/>
      <c r="J116" s="28"/>
      <c r="K116" s="28"/>
      <c r="L116" s="28"/>
      <c r="M116" s="28"/>
    </row>
    <row r="117" spans="3:13" x14ac:dyDescent="0.3">
      <c r="C117" s="219"/>
      <c r="D117" s="17"/>
      <c r="E117" s="28"/>
      <c r="F117" s="28"/>
      <c r="G117" s="28"/>
      <c r="H117" s="28"/>
      <c r="I117" s="28"/>
      <c r="J117" s="28"/>
      <c r="K117" s="28"/>
      <c r="L117" s="28"/>
      <c r="M117" s="28"/>
    </row>
    <row r="118" spans="3:13" x14ac:dyDescent="0.3">
      <c r="C118" s="219"/>
      <c r="D118" s="17"/>
      <c r="E118" s="28"/>
      <c r="F118" s="28"/>
      <c r="G118" s="28"/>
      <c r="H118" s="28"/>
      <c r="I118" s="28"/>
      <c r="J118" s="28"/>
      <c r="K118" s="28"/>
      <c r="L118" s="28"/>
      <c r="M118" s="28"/>
    </row>
    <row r="119" spans="3:13" x14ac:dyDescent="0.3">
      <c r="C119" s="219"/>
      <c r="D119" s="17"/>
      <c r="E119" s="28"/>
      <c r="F119" s="28"/>
      <c r="G119" s="28"/>
      <c r="H119" s="28"/>
      <c r="I119" s="28"/>
      <c r="J119" s="28"/>
      <c r="K119" s="28"/>
      <c r="L119" s="28"/>
      <c r="M119" s="28"/>
    </row>
    <row r="120" spans="3:13" x14ac:dyDescent="0.3">
      <c r="C120" s="219"/>
      <c r="D120" s="17"/>
      <c r="E120" s="28"/>
      <c r="F120" s="28"/>
      <c r="G120" s="28"/>
      <c r="H120" s="28"/>
      <c r="I120" s="28"/>
      <c r="J120" s="28"/>
      <c r="K120" s="28"/>
      <c r="L120" s="28"/>
      <c r="M120" s="28"/>
    </row>
    <row r="121" spans="3:13" x14ac:dyDescent="0.3">
      <c r="C121" s="219"/>
      <c r="D121" s="17"/>
      <c r="E121" s="28"/>
      <c r="F121" s="28"/>
      <c r="G121" s="28"/>
      <c r="H121" s="28"/>
      <c r="I121" s="28"/>
      <c r="J121" s="28"/>
      <c r="K121" s="28"/>
      <c r="L121" s="28"/>
      <c r="M121" s="28"/>
    </row>
    <row r="122" spans="3:13" x14ac:dyDescent="0.3">
      <c r="C122" s="219"/>
      <c r="D122" s="17"/>
      <c r="E122" s="28"/>
      <c r="F122" s="28"/>
      <c r="G122" s="28"/>
      <c r="H122" s="28"/>
      <c r="I122" s="28"/>
      <c r="J122" s="28"/>
      <c r="K122" s="28"/>
      <c r="L122" s="28"/>
      <c r="M122" s="28"/>
    </row>
    <row r="123" spans="3:13" x14ac:dyDescent="0.3">
      <c r="C123" s="219"/>
      <c r="D123" s="17"/>
      <c r="E123" s="28"/>
      <c r="F123" s="28"/>
      <c r="G123" s="28"/>
      <c r="H123" s="28"/>
      <c r="I123" s="28"/>
      <c r="J123" s="28"/>
      <c r="K123" s="28"/>
      <c r="L123" s="28"/>
      <c r="M123" s="28"/>
    </row>
    <row r="124" spans="3:13" x14ac:dyDescent="0.3">
      <c r="C124" s="219"/>
      <c r="D124" s="17"/>
      <c r="E124" s="28"/>
      <c r="F124" s="28"/>
      <c r="G124" s="28"/>
      <c r="H124" s="28"/>
      <c r="I124" s="28"/>
      <c r="J124" s="28"/>
      <c r="K124" s="28"/>
      <c r="L124" s="28"/>
      <c r="M124" s="28"/>
    </row>
    <row r="125" spans="3:13" x14ac:dyDescent="0.3">
      <c r="C125" s="219"/>
      <c r="D125" s="17"/>
      <c r="E125" s="28"/>
      <c r="F125" s="28"/>
      <c r="G125" s="28"/>
      <c r="H125" s="28"/>
      <c r="I125" s="28"/>
      <c r="J125" s="28"/>
      <c r="K125" s="28"/>
      <c r="L125" s="28"/>
      <c r="M125" s="28"/>
    </row>
    <row r="126" spans="3:13" x14ac:dyDescent="0.3">
      <c r="C126" s="219"/>
      <c r="D126" s="17"/>
      <c r="E126" s="28"/>
      <c r="F126" s="28"/>
      <c r="G126" s="28"/>
      <c r="H126" s="28"/>
      <c r="I126" s="28"/>
      <c r="J126" s="28"/>
      <c r="K126" s="28"/>
      <c r="L126" s="28"/>
      <c r="M126" s="28"/>
    </row>
    <row r="127" spans="3:13" x14ac:dyDescent="0.3">
      <c r="C127" s="219"/>
      <c r="D127" s="17"/>
      <c r="E127" s="28"/>
      <c r="F127" s="28"/>
      <c r="G127" s="28"/>
      <c r="H127" s="28"/>
      <c r="I127" s="28"/>
      <c r="J127" s="28"/>
      <c r="K127" s="28"/>
      <c r="L127" s="28"/>
      <c r="M127" s="28"/>
    </row>
    <row r="128" spans="3:13" x14ac:dyDescent="0.3">
      <c r="C128" s="219"/>
      <c r="D128" s="17"/>
      <c r="E128" s="28"/>
      <c r="F128" s="28"/>
      <c r="G128" s="28"/>
      <c r="H128" s="28"/>
      <c r="I128" s="28"/>
      <c r="J128" s="28"/>
      <c r="K128" s="28"/>
      <c r="L128" s="28"/>
      <c r="M128" s="28"/>
    </row>
    <row r="129" spans="3:13" x14ac:dyDescent="0.3">
      <c r="C129" s="219"/>
      <c r="D129" s="17"/>
      <c r="E129" s="28"/>
      <c r="F129" s="28"/>
      <c r="G129" s="28"/>
      <c r="H129" s="28"/>
      <c r="I129" s="28"/>
      <c r="J129" s="28"/>
      <c r="K129" s="28"/>
      <c r="L129" s="28"/>
      <c r="M129" s="28"/>
    </row>
    <row r="130" spans="3:13" x14ac:dyDescent="0.3">
      <c r="C130" s="219"/>
      <c r="D130" s="17"/>
      <c r="E130" s="28"/>
      <c r="F130" s="28"/>
      <c r="G130" s="28"/>
      <c r="H130" s="28"/>
      <c r="I130" s="28"/>
      <c r="J130" s="28"/>
      <c r="K130" s="28"/>
      <c r="L130" s="28"/>
      <c r="M130" s="28"/>
    </row>
    <row r="131" spans="3:13" x14ac:dyDescent="0.3">
      <c r="C131" s="219"/>
      <c r="D131" s="17"/>
      <c r="E131" s="28"/>
      <c r="F131" s="28"/>
      <c r="G131" s="28"/>
      <c r="H131" s="28"/>
      <c r="I131" s="28"/>
      <c r="J131" s="28"/>
      <c r="K131" s="28"/>
      <c r="L131" s="28"/>
      <c r="M131" s="28"/>
    </row>
    <row r="132" spans="3:13" x14ac:dyDescent="0.3">
      <c r="C132" s="219"/>
      <c r="D132" s="17"/>
      <c r="E132" s="28"/>
      <c r="F132" s="28"/>
      <c r="G132" s="28"/>
      <c r="H132" s="28"/>
      <c r="I132" s="28"/>
      <c r="J132" s="28"/>
      <c r="K132" s="28"/>
      <c r="L132" s="28"/>
      <c r="M132" s="28"/>
    </row>
    <row r="133" spans="3:13" x14ac:dyDescent="0.3">
      <c r="C133" s="219"/>
      <c r="D133" s="17"/>
      <c r="E133" s="28"/>
      <c r="F133" s="28"/>
      <c r="G133" s="28"/>
      <c r="H133" s="28"/>
      <c r="I133" s="28"/>
      <c r="J133" s="28"/>
      <c r="K133" s="28"/>
      <c r="L133" s="28"/>
      <c r="M133" s="28"/>
    </row>
    <row r="134" spans="3:13" x14ac:dyDescent="0.3">
      <c r="C134" s="219"/>
      <c r="D134" s="17"/>
      <c r="E134" s="28"/>
      <c r="F134" s="28"/>
      <c r="G134" s="28"/>
      <c r="H134" s="28"/>
      <c r="I134" s="28"/>
      <c r="J134" s="28"/>
      <c r="K134" s="28"/>
      <c r="L134" s="28"/>
      <c r="M134" s="28"/>
    </row>
    <row r="135" spans="3:13" x14ac:dyDescent="0.3">
      <c r="C135" s="219"/>
      <c r="D135" s="17"/>
      <c r="E135" s="28"/>
      <c r="F135" s="28"/>
      <c r="G135" s="28"/>
      <c r="H135" s="28"/>
      <c r="I135" s="28"/>
      <c r="J135" s="28"/>
      <c r="K135" s="28"/>
      <c r="L135" s="28"/>
      <c r="M135" s="28"/>
    </row>
    <row r="136" spans="3:13" x14ac:dyDescent="0.3">
      <c r="C136" s="219"/>
      <c r="D136" s="17"/>
      <c r="E136" s="28"/>
      <c r="F136" s="28"/>
      <c r="G136" s="28"/>
      <c r="H136" s="28"/>
      <c r="I136" s="28"/>
      <c r="J136" s="28"/>
      <c r="K136" s="28"/>
      <c r="L136" s="28"/>
      <c r="M136" s="28"/>
    </row>
    <row r="137" spans="3:13" x14ac:dyDescent="0.3">
      <c r="C137" s="219"/>
      <c r="D137" s="17"/>
      <c r="E137" s="28"/>
      <c r="F137" s="28"/>
      <c r="G137" s="28"/>
      <c r="H137" s="28"/>
      <c r="I137" s="28"/>
      <c r="J137" s="28"/>
      <c r="K137" s="28"/>
      <c r="L137" s="28"/>
      <c r="M137" s="28"/>
    </row>
    <row r="138" spans="3:13" x14ac:dyDescent="0.3">
      <c r="C138" s="219"/>
      <c r="D138" s="17"/>
      <c r="E138" s="28"/>
      <c r="F138" s="28"/>
      <c r="G138" s="28"/>
      <c r="H138" s="28"/>
      <c r="I138" s="28"/>
      <c r="J138" s="28"/>
      <c r="K138" s="28"/>
      <c r="L138" s="28"/>
      <c r="M138" s="28"/>
    </row>
    <row r="139" spans="3:13" x14ac:dyDescent="0.3">
      <c r="C139" s="219"/>
      <c r="D139" s="17"/>
      <c r="E139" s="28"/>
      <c r="F139" s="28"/>
      <c r="G139" s="28"/>
      <c r="H139" s="28"/>
      <c r="I139" s="28"/>
      <c r="J139" s="28"/>
      <c r="K139" s="28"/>
      <c r="L139" s="28"/>
      <c r="M139" s="28"/>
    </row>
    <row r="140" spans="3:13" x14ac:dyDescent="0.3">
      <c r="C140" s="219"/>
      <c r="D140" s="17"/>
      <c r="E140" s="28"/>
      <c r="F140" s="28"/>
      <c r="G140" s="28"/>
      <c r="H140" s="28"/>
      <c r="I140" s="28"/>
      <c r="J140" s="28"/>
      <c r="K140" s="28"/>
      <c r="L140" s="28"/>
      <c r="M140" s="28"/>
    </row>
    <row r="141" spans="3:13" x14ac:dyDescent="0.3">
      <c r="C141" s="219"/>
      <c r="D141" s="17"/>
      <c r="E141" s="28"/>
      <c r="F141" s="28"/>
      <c r="G141" s="28"/>
      <c r="H141" s="28"/>
      <c r="I141" s="28"/>
      <c r="J141" s="28"/>
      <c r="K141" s="28"/>
      <c r="L141" s="28"/>
      <c r="M141" s="28"/>
    </row>
    <row r="142" spans="3:13" x14ac:dyDescent="0.3">
      <c r="C142" s="219"/>
      <c r="D142" s="17"/>
      <c r="E142" s="28"/>
      <c r="F142" s="28"/>
      <c r="G142" s="28"/>
      <c r="H142" s="28"/>
      <c r="I142" s="28"/>
      <c r="J142" s="28"/>
      <c r="K142" s="28"/>
      <c r="L142" s="28"/>
      <c r="M142" s="28"/>
    </row>
    <row r="143" spans="3:13" x14ac:dyDescent="0.3">
      <c r="C143" s="219"/>
      <c r="D143" s="17"/>
      <c r="E143" s="28"/>
      <c r="F143" s="28"/>
      <c r="G143" s="28"/>
      <c r="H143" s="28"/>
      <c r="I143" s="28"/>
      <c r="J143" s="28"/>
      <c r="K143" s="28"/>
      <c r="L143" s="28"/>
      <c r="M143" s="28"/>
    </row>
    <row r="144" spans="3:13" x14ac:dyDescent="0.3">
      <c r="C144" s="219"/>
      <c r="D144" s="17"/>
      <c r="E144" s="28"/>
      <c r="F144" s="28"/>
      <c r="G144" s="28"/>
      <c r="H144" s="28"/>
      <c r="I144" s="28"/>
      <c r="J144" s="28"/>
      <c r="K144" s="28"/>
      <c r="L144" s="28"/>
      <c r="M144" s="28"/>
    </row>
  </sheetData>
  <mergeCells count="2">
    <mergeCell ref="C3:F3"/>
    <mergeCell ref="G13:M13"/>
  </mergeCells>
  <printOptions gridLines="1"/>
  <pageMargins left="0.78749999999999998" right="0" top="0.39374999999999999" bottom="0.98402777777777795" header="0.511811023622047" footer="0.511811023622047"/>
  <pageSetup paperSize="9"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44"/>
  <sheetViews>
    <sheetView zoomScale="85" zoomScaleNormal="85" workbookViewId="0">
      <selection activeCell="I26" sqref="I26"/>
    </sheetView>
  </sheetViews>
  <sheetFormatPr defaultColWidth="9" defaultRowHeight="20.25" x14ac:dyDescent="0.3"/>
  <cols>
    <col min="1" max="2" width="15.7109375" style="17" customWidth="1"/>
    <col min="3" max="3" width="39.85546875" style="17" customWidth="1"/>
    <col min="4" max="4" width="20.5703125" style="17" customWidth="1"/>
    <col min="5" max="6" width="30.85546875" style="17" customWidth="1"/>
    <col min="7" max="7" width="31.42578125" style="17" customWidth="1"/>
    <col min="8" max="8" width="30.28515625" style="17" customWidth="1"/>
    <col min="9" max="9" width="30.85546875" style="17" customWidth="1"/>
    <col min="10" max="10" width="32.28515625" style="17" customWidth="1"/>
    <col min="11" max="12" width="15.7109375" style="17" customWidth="1"/>
    <col min="13" max="16384" width="9" style="17"/>
  </cols>
  <sheetData>
    <row r="1" spans="2:11" ht="21.75" customHeight="1" x14ac:dyDescent="0.3"/>
    <row r="2" spans="2:11" ht="21.75" customHeight="1" x14ac:dyDescent="0.3">
      <c r="B2" s="351" t="s">
        <v>332</v>
      </c>
      <c r="C2" s="351"/>
      <c r="D2" s="351"/>
      <c r="E2" s="351"/>
      <c r="F2" s="351"/>
      <c r="G2" s="351"/>
      <c r="H2" s="351"/>
      <c r="I2" s="351"/>
      <c r="J2" s="351"/>
      <c r="K2" s="351"/>
    </row>
    <row r="3" spans="2:11" ht="21.75" customHeight="1" x14ac:dyDescent="0.3"/>
    <row r="4" spans="2:11" ht="21.75" customHeight="1" x14ac:dyDescent="0.3">
      <c r="B4" s="352" t="s">
        <v>333</v>
      </c>
      <c r="C4" s="353" t="s">
        <v>334</v>
      </c>
      <c r="D4" s="354" t="s">
        <v>335</v>
      </c>
      <c r="E4" s="354"/>
      <c r="F4" s="354"/>
      <c r="G4" s="353" t="s">
        <v>33</v>
      </c>
      <c r="H4" s="353" t="s">
        <v>336</v>
      </c>
      <c r="I4" s="355" t="s">
        <v>197</v>
      </c>
      <c r="J4" s="356" t="s">
        <v>337</v>
      </c>
    </row>
    <row r="5" spans="2:11" ht="105.75" customHeight="1" x14ac:dyDescent="0.3">
      <c r="B5" s="352"/>
      <c r="C5" s="353"/>
      <c r="D5" s="248" t="s">
        <v>135</v>
      </c>
      <c r="E5" s="248" t="s">
        <v>338</v>
      </c>
      <c r="F5" s="248" t="s">
        <v>339</v>
      </c>
      <c r="G5" s="353"/>
      <c r="H5" s="353"/>
      <c r="I5" s="355"/>
      <c r="J5" s="356"/>
    </row>
    <row r="6" spans="2:11" x14ac:dyDescent="0.3">
      <c r="B6" s="249">
        <v>1</v>
      </c>
      <c r="C6" s="250">
        <v>2</v>
      </c>
      <c r="D6" s="250">
        <v>3</v>
      </c>
      <c r="E6" s="250">
        <v>4</v>
      </c>
      <c r="F6" s="250">
        <v>5</v>
      </c>
      <c r="G6" s="250">
        <v>6</v>
      </c>
      <c r="H6" s="250">
        <v>7</v>
      </c>
      <c r="I6" s="250">
        <v>8</v>
      </c>
      <c r="J6" s="251">
        <v>9</v>
      </c>
    </row>
    <row r="7" spans="2:11" x14ac:dyDescent="0.3">
      <c r="B7" s="252" t="s">
        <v>340</v>
      </c>
      <c r="C7" s="253">
        <f>'План учебного процесса'!P7+'План учебного процесса'!T7-SUM(D7:H7)</f>
        <v>41</v>
      </c>
      <c r="D7" s="253">
        <v>0</v>
      </c>
      <c r="E7" s="253">
        <v>0</v>
      </c>
      <c r="F7" s="254">
        <v>0</v>
      </c>
      <c r="G7" s="254">
        <v>0</v>
      </c>
      <c r="H7" s="254">
        <v>0</v>
      </c>
      <c r="I7" s="254">
        <v>11</v>
      </c>
      <c r="J7" s="255">
        <f>SUM(C7:I7)</f>
        <v>52</v>
      </c>
    </row>
    <row r="8" spans="2:11" x14ac:dyDescent="0.3">
      <c r="B8" s="256" t="s">
        <v>341</v>
      </c>
      <c r="C8" s="257">
        <f>'План учебного процесса'!X7+'План учебного процесса'!AC7-SUM(D8:H8)</f>
        <v>41.5</v>
      </c>
      <c r="D8" s="253">
        <v>0</v>
      </c>
      <c r="E8" s="253">
        <v>0</v>
      </c>
      <c r="F8" s="254">
        <v>0</v>
      </c>
      <c r="G8" s="254">
        <v>0</v>
      </c>
      <c r="H8" s="254">
        <v>0</v>
      </c>
      <c r="I8" s="254">
        <v>10.5</v>
      </c>
      <c r="J8" s="255">
        <f>SUM(C8:I8)</f>
        <v>52</v>
      </c>
    </row>
    <row r="9" spans="2:11" x14ac:dyDescent="0.3">
      <c r="B9" s="256" t="s">
        <v>342</v>
      </c>
      <c r="C9" s="257">
        <f>'План учебного процесса'!AH7+'План учебного процесса'!AM7-SUM(D9:H9)</f>
        <v>35.5</v>
      </c>
      <c r="D9" s="253">
        <v>3</v>
      </c>
      <c r="E9" s="253">
        <v>3</v>
      </c>
      <c r="F9" s="254">
        <v>0</v>
      </c>
      <c r="G9" s="254">
        <v>0</v>
      </c>
      <c r="H9" s="254">
        <v>0</v>
      </c>
      <c r="I9" s="254">
        <v>10.5</v>
      </c>
      <c r="J9" s="255">
        <f>SUM(C9:I9)</f>
        <v>52</v>
      </c>
    </row>
    <row r="10" spans="2:11" x14ac:dyDescent="0.3">
      <c r="B10" s="258" t="s">
        <v>343</v>
      </c>
      <c r="C10" s="259">
        <f>'План учебного процесса'!AR7+'План учебного процесса'!AW7-SUM(D10:G10)</f>
        <v>12</v>
      </c>
      <c r="D10" s="259">
        <v>12</v>
      </c>
      <c r="E10" s="259">
        <v>7</v>
      </c>
      <c r="F10" s="260">
        <v>4</v>
      </c>
      <c r="G10" s="260">
        <v>0</v>
      </c>
      <c r="H10" s="260">
        <v>6</v>
      </c>
      <c r="I10" s="260">
        <v>2</v>
      </c>
      <c r="J10" s="255">
        <f>SUM(C10:I10)</f>
        <v>43</v>
      </c>
    </row>
    <row r="11" spans="2:11" x14ac:dyDescent="0.3">
      <c r="B11" s="261" t="s">
        <v>198</v>
      </c>
      <c r="C11" s="262">
        <f t="shared" ref="C11:H11" si="0">SUM(C7:C10)</f>
        <v>130</v>
      </c>
      <c r="D11" s="263">
        <f t="shared" si="0"/>
        <v>15</v>
      </c>
      <c r="E11" s="263">
        <f t="shared" si="0"/>
        <v>10</v>
      </c>
      <c r="F11" s="263">
        <f t="shared" si="0"/>
        <v>4</v>
      </c>
      <c r="G11" s="263">
        <f t="shared" si="0"/>
        <v>0</v>
      </c>
      <c r="H11" s="263">
        <f t="shared" si="0"/>
        <v>6</v>
      </c>
      <c r="I11" s="264">
        <f>I7+I8+I9+I10</f>
        <v>34</v>
      </c>
      <c r="J11" s="265">
        <f>SUM(J7:J10)</f>
        <v>199</v>
      </c>
    </row>
    <row r="12" spans="2:11" ht="21.75" customHeight="1" x14ac:dyDescent="0.3"/>
    <row r="13" spans="2:11" ht="21.75" customHeight="1" x14ac:dyDescent="0.3">
      <c r="C13" s="266" t="s">
        <v>344</v>
      </c>
      <c r="D13" s="266">
        <f>(J11-I11)*36</f>
        <v>5940</v>
      </c>
      <c r="E13" s="348">
        <f>SUM(E14:E19)+SUM(F15:F16)</f>
        <v>5940</v>
      </c>
      <c r="F13" s="348"/>
      <c r="G13" s="349" t="s">
        <v>345</v>
      </c>
      <c r="H13" s="349"/>
    </row>
    <row r="14" spans="2:11" ht="21.75" customHeight="1" x14ac:dyDescent="0.3">
      <c r="C14" s="17" t="s">
        <v>346</v>
      </c>
      <c r="D14" s="267">
        <f>C11*36</f>
        <v>4680</v>
      </c>
      <c r="E14" s="17">
        <v>4680</v>
      </c>
      <c r="G14" s="17">
        <v>4680</v>
      </c>
      <c r="H14" s="350">
        <f>SUM(G14:G16)</f>
        <v>5580</v>
      </c>
      <c r="I14" s="266">
        <f>SUM(I15:I16)</f>
        <v>5940</v>
      </c>
    </row>
    <row r="15" spans="2:11" ht="21.75" customHeight="1" x14ac:dyDescent="0.3">
      <c r="C15" s="17" t="s">
        <v>135</v>
      </c>
      <c r="D15" s="267">
        <f>D11*36</f>
        <v>540</v>
      </c>
      <c r="E15" s="17">
        <v>468</v>
      </c>
      <c r="F15" s="17">
        <f>D15-E15</f>
        <v>72</v>
      </c>
      <c r="G15" s="17">
        <v>540</v>
      </c>
      <c r="H15" s="350"/>
      <c r="I15" s="17">
        <v>5328</v>
      </c>
    </row>
    <row r="16" spans="2:11" ht="21.75" customHeight="1" x14ac:dyDescent="0.3">
      <c r="C16" s="17" t="s">
        <v>137</v>
      </c>
      <c r="D16" s="267">
        <f>E11*36</f>
        <v>360</v>
      </c>
      <c r="E16" s="17">
        <v>288</v>
      </c>
      <c r="F16" s="17">
        <f>D16-E16</f>
        <v>72</v>
      </c>
      <c r="G16" s="17">
        <v>360</v>
      </c>
      <c r="H16" s="350"/>
      <c r="I16" s="17">
        <v>612</v>
      </c>
    </row>
    <row r="17" spans="3:8" ht="21.75" customHeight="1" x14ac:dyDescent="0.3">
      <c r="C17" s="17" t="s">
        <v>339</v>
      </c>
      <c r="D17" s="267">
        <f>F11*36</f>
        <v>144</v>
      </c>
      <c r="E17" s="17">
        <v>144</v>
      </c>
      <c r="G17" s="17">
        <v>144</v>
      </c>
      <c r="H17" s="350">
        <f>SUM(G17:G19)</f>
        <v>360</v>
      </c>
    </row>
    <row r="18" spans="3:8" ht="21.75" customHeight="1" x14ac:dyDescent="0.3">
      <c r="C18" s="17" t="s">
        <v>347</v>
      </c>
      <c r="D18" s="267">
        <f>H11*36</f>
        <v>216</v>
      </c>
      <c r="E18" s="17">
        <v>216</v>
      </c>
      <c r="G18" s="17">
        <v>216</v>
      </c>
      <c r="H18" s="350"/>
    </row>
    <row r="19" spans="3:8" ht="21.75" customHeight="1" x14ac:dyDescent="0.3">
      <c r="C19" s="17" t="s">
        <v>33</v>
      </c>
      <c r="D19" s="267">
        <f>G11*36</f>
        <v>0</v>
      </c>
      <c r="E19" s="17">
        <v>0</v>
      </c>
      <c r="H19" s="350"/>
    </row>
    <row r="20" spans="3:8" ht="21.75" customHeight="1" x14ac:dyDescent="0.3"/>
    <row r="21" spans="3:8" ht="21.75" customHeight="1" x14ac:dyDescent="0.3">
      <c r="C21" s="17" t="s">
        <v>348</v>
      </c>
      <c r="D21" s="17">
        <v>2952</v>
      </c>
      <c r="F21" s="17" t="s">
        <v>349</v>
      </c>
      <c r="H21" s="268">
        <f>'План учебного процесса'!G73</f>
        <v>4464</v>
      </c>
    </row>
    <row r="22" spans="3:8" ht="21.75" customHeight="1" x14ac:dyDescent="0.3">
      <c r="C22" s="17" t="s">
        <v>350</v>
      </c>
      <c r="D22" s="17">
        <v>0</v>
      </c>
      <c r="F22" s="17" t="s">
        <v>351</v>
      </c>
      <c r="H22" s="17">
        <f>'План учебного процесса'!G8</f>
        <v>1476</v>
      </c>
    </row>
    <row r="23" spans="3:8" ht="21.75" customHeight="1" x14ac:dyDescent="0.3">
      <c r="C23" s="17" t="s">
        <v>347</v>
      </c>
      <c r="D23" s="17">
        <v>216</v>
      </c>
      <c r="H23" s="269">
        <f>SUM(H21:H22)</f>
        <v>5940</v>
      </c>
    </row>
    <row r="24" spans="3:8" ht="21.75" customHeight="1" x14ac:dyDescent="0.3">
      <c r="C24" s="17" t="s">
        <v>352</v>
      </c>
      <c r="D24" s="17">
        <v>1296</v>
      </c>
    </row>
    <row r="25" spans="3:8" ht="21.75" customHeight="1" x14ac:dyDescent="0.3">
      <c r="C25" s="270" t="s">
        <v>353</v>
      </c>
      <c r="D25" s="266">
        <f>SUM(D21:D24)</f>
        <v>4464</v>
      </c>
    </row>
    <row r="26" spans="3:8" ht="21.75" customHeight="1" x14ac:dyDescent="0.3">
      <c r="C26" s="246"/>
    </row>
    <row r="27" spans="3:8" ht="21.75" customHeight="1" x14ac:dyDescent="0.3"/>
    <row r="28" spans="3:8" ht="21.75" customHeight="1" x14ac:dyDescent="0.3"/>
    <row r="29" spans="3:8" ht="21.75" customHeight="1" x14ac:dyDescent="0.3"/>
    <row r="30" spans="3:8" ht="21.75" customHeight="1" x14ac:dyDescent="0.3"/>
    <row r="31" spans="3:8" ht="21.75" customHeight="1" x14ac:dyDescent="0.3"/>
    <row r="32" spans="3:8" ht="21.75" customHeight="1" x14ac:dyDescent="0.3"/>
    <row r="33" ht="24.75" customHeight="1" x14ac:dyDescent="0.3"/>
    <row r="34" ht="21.75" customHeight="1" x14ac:dyDescent="0.3"/>
    <row r="43" ht="11.25" customHeight="1" x14ac:dyDescent="0.3"/>
    <row r="44" ht="12.75" customHeight="1" x14ac:dyDescent="0.3"/>
  </sheetData>
  <mergeCells count="12">
    <mergeCell ref="E13:F13"/>
    <mergeCell ref="G13:H13"/>
    <mergeCell ref="H14:H16"/>
    <mergeCell ref="H17:H19"/>
    <mergeCell ref="B2:K2"/>
    <mergeCell ref="B4:B5"/>
    <mergeCell ref="C4:C5"/>
    <mergeCell ref="D4:F4"/>
    <mergeCell ref="G4:G5"/>
    <mergeCell ref="H4:H5"/>
    <mergeCell ref="I4:I5"/>
    <mergeCell ref="J4:J5"/>
  </mergeCells>
  <printOptions gridLines="1"/>
  <pageMargins left="0.78749999999999998" right="0.23611111111111099" top="0.39374999999999999" bottom="0.196527777777778" header="0.511811023622047" footer="0.511811023622047"/>
  <pageSetup paperSize="9" fitToHeight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7"/>
  <sheetViews>
    <sheetView zoomScale="130" zoomScaleNormal="130" workbookViewId="0">
      <selection activeCell="O29" sqref="O29"/>
    </sheetView>
  </sheetViews>
  <sheetFormatPr defaultColWidth="8.7109375" defaultRowHeight="12.75" x14ac:dyDescent="0.2"/>
  <cols>
    <col min="1" max="1" width="3.140625" customWidth="1"/>
    <col min="2" max="2" width="5.85546875" customWidth="1"/>
    <col min="3" max="3" width="29.85546875" bestFit="1" customWidth="1"/>
    <col min="4" max="6" width="6.5703125" customWidth="1"/>
    <col min="8" max="11" width="7" customWidth="1"/>
    <col min="12" max="12" width="6.7109375" customWidth="1"/>
    <col min="13" max="13" width="7.7109375" customWidth="1"/>
    <col min="15" max="15" width="7.85546875" customWidth="1"/>
    <col min="16" max="17" width="8.85546875" bestFit="1" customWidth="1"/>
    <col min="18" max="18" width="9.42578125" bestFit="1" customWidth="1"/>
    <col min="19" max="20" width="8.85546875" bestFit="1" customWidth="1"/>
    <col min="21" max="21" width="25.28515625" customWidth="1"/>
  </cols>
  <sheetData>
    <row r="1" spans="1:21" ht="27" customHeight="1" x14ac:dyDescent="0.2">
      <c r="A1" s="364" t="s">
        <v>404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</row>
    <row r="2" spans="1:21" ht="13.5" x14ac:dyDescent="0.25">
      <c r="A2" s="28"/>
      <c r="B2" s="28"/>
      <c r="C2" s="28" t="s">
        <v>354</v>
      </c>
      <c r="D2" s="271" t="s">
        <v>403</v>
      </c>
      <c r="E2" s="28"/>
      <c r="F2" s="28"/>
      <c r="K2" s="28"/>
      <c r="L2" s="28"/>
      <c r="M2" s="28"/>
      <c r="N2" s="28"/>
      <c r="O2" s="28"/>
      <c r="P2" s="28"/>
      <c r="Q2" s="28"/>
      <c r="R2" s="28" t="s">
        <v>405</v>
      </c>
      <c r="S2" s="282"/>
      <c r="T2" s="28"/>
      <c r="U2" s="28"/>
    </row>
    <row r="3" spans="1:21" ht="13.5" x14ac:dyDescent="0.25">
      <c r="A3" s="28"/>
      <c r="B3" s="28"/>
      <c r="C3" s="28" t="s">
        <v>355</v>
      </c>
      <c r="D3" s="271" t="s">
        <v>400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3.5" x14ac:dyDescent="0.25">
      <c r="A4" s="28"/>
      <c r="B4" s="28"/>
      <c r="C4" s="28" t="s">
        <v>179</v>
      </c>
      <c r="D4" s="272">
        <v>1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 ht="13.5" x14ac:dyDescent="0.25">
      <c r="A5" s="28"/>
      <c r="B5" s="28"/>
      <c r="C5" s="28" t="s">
        <v>180</v>
      </c>
      <c r="D5" s="27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3.5" x14ac:dyDescent="0.25">
      <c r="A6" s="28"/>
      <c r="B6" s="28"/>
      <c r="C6" s="28" t="s">
        <v>356</v>
      </c>
      <c r="D6" s="272">
        <v>25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 t="s">
        <v>406</v>
      </c>
      <c r="S6" s="28"/>
      <c r="T6" s="28"/>
      <c r="U6" s="28"/>
    </row>
    <row r="7" spans="1:21" ht="13.5" x14ac:dyDescent="0.25">
      <c r="A7" s="28"/>
      <c r="B7" s="28"/>
      <c r="C7" s="28" t="s">
        <v>357</v>
      </c>
      <c r="D7" s="272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spans="1:21" ht="20.45" customHeight="1" x14ac:dyDescent="0.2">
      <c r="A9" s="363" t="s">
        <v>278</v>
      </c>
      <c r="B9" s="365" t="s">
        <v>13</v>
      </c>
      <c r="C9" s="363" t="s">
        <v>358</v>
      </c>
      <c r="D9" s="363" t="s">
        <v>359</v>
      </c>
      <c r="E9" s="363"/>
      <c r="F9" s="363"/>
      <c r="G9" s="363" t="s">
        <v>360</v>
      </c>
      <c r="H9" s="363"/>
      <c r="I9" s="363"/>
      <c r="J9" s="363"/>
      <c r="K9" s="363"/>
      <c r="L9" s="363"/>
      <c r="M9" s="363"/>
      <c r="N9" s="365" t="s">
        <v>361</v>
      </c>
      <c r="O9" s="363" t="s">
        <v>362</v>
      </c>
      <c r="P9" s="363"/>
      <c r="Q9" s="363"/>
      <c r="R9" s="363"/>
      <c r="S9" s="363"/>
      <c r="T9" s="363"/>
      <c r="U9" s="363" t="s">
        <v>363</v>
      </c>
    </row>
    <row r="10" spans="1:21" ht="17.100000000000001" customHeight="1" x14ac:dyDescent="0.2">
      <c r="A10" s="363"/>
      <c r="B10" s="365"/>
      <c r="C10" s="363"/>
      <c r="D10" s="365" t="s">
        <v>366</v>
      </c>
      <c r="E10" s="365" t="s">
        <v>365</v>
      </c>
      <c r="F10" s="365" t="s">
        <v>364</v>
      </c>
      <c r="G10" s="365" t="s">
        <v>367</v>
      </c>
      <c r="H10" s="357" t="s">
        <v>410</v>
      </c>
      <c r="I10" s="358"/>
      <c r="J10" s="358"/>
      <c r="K10" s="358"/>
      <c r="L10" s="358"/>
      <c r="M10" s="358"/>
      <c r="N10" s="365"/>
      <c r="O10" s="363" t="str">
        <f>'План учебного процесса'!P5</f>
        <v>1 семестр</v>
      </c>
      <c r="P10" s="363"/>
      <c r="Q10" s="363"/>
      <c r="R10" s="363" t="str">
        <f>'План учебного процесса'!T5</f>
        <v>2 семестр</v>
      </c>
      <c r="S10" s="363"/>
      <c r="T10" s="363"/>
      <c r="U10" s="363"/>
    </row>
    <row r="11" spans="1:21" ht="18.600000000000001" customHeight="1" x14ac:dyDescent="0.2">
      <c r="A11" s="363"/>
      <c r="B11" s="365"/>
      <c r="C11" s="363"/>
      <c r="D11" s="365"/>
      <c r="E11" s="365"/>
      <c r="F11" s="365"/>
      <c r="G11" s="365"/>
      <c r="H11" s="361" t="s">
        <v>271</v>
      </c>
      <c r="I11" s="359" t="s">
        <v>411</v>
      </c>
      <c r="J11" s="360"/>
      <c r="K11" s="361" t="s">
        <v>369</v>
      </c>
      <c r="L11" s="361" t="s">
        <v>368</v>
      </c>
      <c r="M11" s="361" t="s">
        <v>33</v>
      </c>
      <c r="N11" s="365"/>
      <c r="O11" s="274"/>
      <c r="P11" s="275">
        <f>'План учебного процесса'!P7</f>
        <v>17</v>
      </c>
      <c r="Q11" s="274" t="s">
        <v>370</v>
      </c>
      <c r="R11" s="274"/>
      <c r="S11" s="275">
        <f>'План учебного процесса'!T7</f>
        <v>24</v>
      </c>
      <c r="T11" s="274" t="s">
        <v>370</v>
      </c>
      <c r="U11" s="363"/>
    </row>
    <row r="12" spans="1:21" ht="53.1" customHeight="1" x14ac:dyDescent="0.2">
      <c r="A12" s="363"/>
      <c r="B12" s="365"/>
      <c r="C12" s="363"/>
      <c r="D12" s="365"/>
      <c r="E12" s="365"/>
      <c r="F12" s="365"/>
      <c r="G12" s="365"/>
      <c r="H12" s="362"/>
      <c r="I12" s="284" t="s">
        <v>198</v>
      </c>
      <c r="J12" s="284" t="s">
        <v>371</v>
      </c>
      <c r="K12" s="362"/>
      <c r="L12" s="362"/>
      <c r="M12" s="362"/>
      <c r="N12" s="365"/>
      <c r="O12" s="273" t="s">
        <v>198</v>
      </c>
      <c r="P12" s="273" t="s">
        <v>372</v>
      </c>
      <c r="Q12" s="273" t="s">
        <v>373</v>
      </c>
      <c r="R12" s="273" t="s">
        <v>198</v>
      </c>
      <c r="S12" s="273" t="s">
        <v>374</v>
      </c>
      <c r="T12" s="273" t="s">
        <v>373</v>
      </c>
      <c r="U12" s="363"/>
    </row>
    <row r="13" spans="1:21" x14ac:dyDescent="0.2">
      <c r="A13" s="274" t="s">
        <v>375</v>
      </c>
      <c r="B13" s="274" t="str">
        <f>'План учебного процесса'!A9</f>
        <v>ОД.01</v>
      </c>
      <c r="C13" s="274" t="str">
        <f>'План учебного процесса'!B9</f>
        <v xml:space="preserve">Русский язык </v>
      </c>
      <c r="D13" s="275">
        <f>'План учебного процесса'!D9</f>
        <v>0</v>
      </c>
      <c r="E13" s="275">
        <f>'План учебного процесса'!E9</f>
        <v>2</v>
      </c>
      <c r="F13" s="275">
        <f>'План учебного процесса'!F9</f>
        <v>0</v>
      </c>
      <c r="G13" s="275">
        <f>'План учебного процесса'!G9</f>
        <v>72</v>
      </c>
      <c r="H13" s="275">
        <f>'План учебного процесса'!I9</f>
        <v>34</v>
      </c>
      <c r="I13" s="275">
        <f>'План учебного процесса'!J9</f>
        <v>36</v>
      </c>
      <c r="J13" s="275"/>
      <c r="K13" s="275"/>
      <c r="L13" s="275"/>
      <c r="M13" s="275">
        <f>'План учебного процесса'!S9+'План учебного процесса'!W9</f>
        <v>2</v>
      </c>
      <c r="N13" s="275">
        <f>G13-L13+J13</f>
        <v>72</v>
      </c>
      <c r="O13" s="276">
        <f>'План учебного процесса'!P9</f>
        <v>36</v>
      </c>
      <c r="P13" s="276">
        <f>'План учебного процесса'!Q9</f>
        <v>18</v>
      </c>
      <c r="Q13" s="276">
        <f t="shared" ref="Q13" si="0">O13/$P$11</f>
        <v>2.1176470588235294</v>
      </c>
      <c r="R13" s="276">
        <f>'План учебного процесса'!T9</f>
        <v>36</v>
      </c>
      <c r="S13" s="276">
        <f>'План учебного процесса'!U9</f>
        <v>18</v>
      </c>
      <c r="T13" s="276">
        <f t="shared" ref="T13" si="1">R13/$S$11</f>
        <v>1.5</v>
      </c>
      <c r="U13" s="274" t="s">
        <v>376</v>
      </c>
    </row>
    <row r="14" spans="1:21" x14ac:dyDescent="0.2">
      <c r="A14" s="274" t="s">
        <v>377</v>
      </c>
      <c r="B14" s="274" t="str">
        <f>'План учебного процесса'!A10</f>
        <v>ОД.02</v>
      </c>
      <c r="C14" s="274" t="str">
        <f>'План учебного процесса'!B10</f>
        <v>Литература</v>
      </c>
      <c r="D14" s="275">
        <f>'План учебного процесса'!D10</f>
        <v>0</v>
      </c>
      <c r="E14" s="275">
        <f>'План учебного процесса'!E10</f>
        <v>2</v>
      </c>
      <c r="F14" s="275">
        <f>'План учебного процесса'!F10</f>
        <v>0</v>
      </c>
      <c r="G14" s="275">
        <f>'План учебного процесса'!G10</f>
        <v>108</v>
      </c>
      <c r="H14" s="275">
        <f>'План учебного процесса'!I10</f>
        <v>52</v>
      </c>
      <c r="I14" s="275">
        <f>'План учебного процесса'!J10</f>
        <v>54</v>
      </c>
      <c r="J14" s="275"/>
      <c r="K14" s="275"/>
      <c r="L14" s="275"/>
      <c r="M14" s="275">
        <f>'План учебного процесса'!S10+'План учебного процесса'!W10</f>
        <v>2</v>
      </c>
      <c r="N14" s="275">
        <f t="shared" ref="N14:N26" si="2">G14-L14+J14</f>
        <v>108</v>
      </c>
      <c r="O14" s="276">
        <f>'План учебного процесса'!P10</f>
        <v>50</v>
      </c>
      <c r="P14" s="276">
        <f>'План учебного процесса'!Q10</f>
        <v>24</v>
      </c>
      <c r="Q14" s="276">
        <f t="shared" ref="Q14:Q26" si="3">O14/$P$11</f>
        <v>2.9411764705882355</v>
      </c>
      <c r="R14" s="276">
        <f>'План учебного процесса'!T10</f>
        <v>58</v>
      </c>
      <c r="S14" s="276">
        <f>'План учебного процесса'!U10</f>
        <v>30</v>
      </c>
      <c r="T14" s="276">
        <f t="shared" ref="T14:T26" si="4">R14/$S$11</f>
        <v>2.4166666666666665</v>
      </c>
      <c r="U14" s="274" t="s">
        <v>376</v>
      </c>
    </row>
    <row r="15" spans="1:21" x14ac:dyDescent="0.2">
      <c r="A15" s="274" t="s">
        <v>378</v>
      </c>
      <c r="B15" s="274" t="str">
        <f>'План учебного процесса'!A11</f>
        <v>ОД.03</v>
      </c>
      <c r="C15" s="274" t="str">
        <f>'План учебного процесса'!B11</f>
        <v>История</v>
      </c>
      <c r="D15" s="275">
        <f>'План учебного процесса'!D11</f>
        <v>0</v>
      </c>
      <c r="E15" s="275">
        <f>'План учебного процесса'!E11</f>
        <v>0</v>
      </c>
      <c r="F15" s="275">
        <f>'План учебного процесса'!F11</f>
        <v>1.2</v>
      </c>
      <c r="G15" s="275">
        <f>'План учебного процесса'!G11</f>
        <v>136</v>
      </c>
      <c r="H15" s="275">
        <f>'План учебного процесса'!I11</f>
        <v>78</v>
      </c>
      <c r="I15" s="275">
        <f>'План учебного процесса'!J11</f>
        <v>50</v>
      </c>
      <c r="J15" s="275"/>
      <c r="K15" s="275"/>
      <c r="L15" s="275"/>
      <c r="M15" s="275">
        <f>'План учебного процесса'!S11+'План учебного процесса'!W11</f>
        <v>8</v>
      </c>
      <c r="N15" s="275">
        <f t="shared" si="2"/>
        <v>136</v>
      </c>
      <c r="O15" s="276">
        <f>'План учебного процесса'!P11</f>
        <v>34</v>
      </c>
      <c r="P15" s="276">
        <f>'План учебного процесса'!Q11</f>
        <v>10</v>
      </c>
      <c r="Q15" s="276">
        <f t="shared" si="3"/>
        <v>2</v>
      </c>
      <c r="R15" s="276">
        <f>'План учебного процесса'!T11</f>
        <v>102</v>
      </c>
      <c r="S15" s="276">
        <f>'План учебного процесса'!U11</f>
        <v>40</v>
      </c>
      <c r="T15" s="276">
        <f t="shared" si="4"/>
        <v>4.25</v>
      </c>
      <c r="U15" s="274" t="s">
        <v>379</v>
      </c>
    </row>
    <row r="16" spans="1:21" x14ac:dyDescent="0.2">
      <c r="A16" s="274" t="s">
        <v>380</v>
      </c>
      <c r="B16" s="274" t="str">
        <f>'План учебного процесса'!A12</f>
        <v>ОД.04</v>
      </c>
      <c r="C16" s="274" t="str">
        <f>'План учебного процесса'!B12</f>
        <v>Обществознание</v>
      </c>
      <c r="D16" s="275">
        <f>'План учебного процесса'!D12</f>
        <v>0</v>
      </c>
      <c r="E16" s="275">
        <f>'План учебного процесса'!E12</f>
        <v>2</v>
      </c>
      <c r="F16" s="275">
        <f>'План учебного процесса'!F12</f>
        <v>0</v>
      </c>
      <c r="G16" s="275">
        <f>'План учебного процесса'!G12</f>
        <v>72</v>
      </c>
      <c r="H16" s="275">
        <f>'План учебного процесса'!I12</f>
        <v>44</v>
      </c>
      <c r="I16" s="275">
        <f>'План учебного процесса'!J12</f>
        <v>26</v>
      </c>
      <c r="J16" s="275"/>
      <c r="K16" s="275"/>
      <c r="L16" s="275"/>
      <c r="M16" s="275">
        <f>'План учебного процесса'!S12+'План учебного процесса'!W12</f>
        <v>2</v>
      </c>
      <c r="N16" s="275">
        <f t="shared" si="2"/>
        <v>72</v>
      </c>
      <c r="O16" s="276">
        <f>'План учебного процесса'!P12</f>
        <v>30</v>
      </c>
      <c r="P16" s="276">
        <f>'План учебного процесса'!Q12</f>
        <v>4</v>
      </c>
      <c r="Q16" s="276">
        <f t="shared" si="3"/>
        <v>1.7647058823529411</v>
      </c>
      <c r="R16" s="276">
        <f>'План учебного процесса'!T12</f>
        <v>42</v>
      </c>
      <c r="S16" s="276">
        <f>'План учебного процесса'!U12</f>
        <v>22</v>
      </c>
      <c r="T16" s="276">
        <f t="shared" si="4"/>
        <v>1.75</v>
      </c>
      <c r="U16" s="274" t="s">
        <v>294</v>
      </c>
    </row>
    <row r="17" spans="1:21" x14ac:dyDescent="0.2">
      <c r="A17" s="274" t="s">
        <v>381</v>
      </c>
      <c r="B17" s="274" t="str">
        <f>'План учебного процесса'!A13</f>
        <v>ОД.05</v>
      </c>
      <c r="C17" s="274" t="str">
        <f>'План учебного процесса'!B13</f>
        <v>География</v>
      </c>
      <c r="D17" s="275">
        <f>'План учебного процесса'!D13</f>
        <v>0</v>
      </c>
      <c r="E17" s="275">
        <f>'План учебного процесса'!E13</f>
        <v>2</v>
      </c>
      <c r="F17" s="275">
        <f>'План учебного процесса'!F13</f>
        <v>0</v>
      </c>
      <c r="G17" s="275">
        <f>'План учебного процесса'!G13</f>
        <v>72</v>
      </c>
      <c r="H17" s="275">
        <f>'План учебного процесса'!I13</f>
        <v>70</v>
      </c>
      <c r="I17" s="275">
        <f>'План учебного процесса'!J13</f>
        <v>0</v>
      </c>
      <c r="J17" s="275"/>
      <c r="K17" s="275"/>
      <c r="L17" s="275"/>
      <c r="M17" s="275">
        <f>'План учебного процесса'!S13+'План учебного процесса'!W13</f>
        <v>2</v>
      </c>
      <c r="N17" s="275">
        <f t="shared" si="2"/>
        <v>72</v>
      </c>
      <c r="O17" s="276">
        <f>'План учебного процесса'!P13</f>
        <v>32</v>
      </c>
      <c r="P17" s="276">
        <f>'План учебного процесса'!Q13</f>
        <v>0</v>
      </c>
      <c r="Q17" s="276">
        <f t="shared" si="3"/>
        <v>1.8823529411764706</v>
      </c>
      <c r="R17" s="276">
        <f>'План учебного процесса'!T13</f>
        <v>40</v>
      </c>
      <c r="S17" s="276">
        <f>'План учебного процесса'!U13</f>
        <v>0</v>
      </c>
      <c r="T17" s="276">
        <f t="shared" si="4"/>
        <v>1.6666666666666667</v>
      </c>
      <c r="U17" s="274" t="s">
        <v>382</v>
      </c>
    </row>
    <row r="18" spans="1:21" x14ac:dyDescent="0.2">
      <c r="A18" s="274" t="s">
        <v>383</v>
      </c>
      <c r="B18" s="274" t="str">
        <f>'План учебного процесса'!A14</f>
        <v>ОД.06</v>
      </c>
      <c r="C18" s="274" t="str">
        <f>'План учебного процесса'!B14</f>
        <v>Иностранный язык</v>
      </c>
      <c r="D18" s="275">
        <f>'План учебного процесса'!D14</f>
        <v>0</v>
      </c>
      <c r="E18" s="275">
        <f>'План учебного процесса'!E14</f>
        <v>2</v>
      </c>
      <c r="F18" s="275">
        <f>'План учебного процесса'!F14</f>
        <v>0</v>
      </c>
      <c r="G18" s="275">
        <f>'План учебного процесса'!G14</f>
        <v>72</v>
      </c>
      <c r="H18" s="275">
        <f>'План учебного процесса'!I14</f>
        <v>0</v>
      </c>
      <c r="I18" s="275">
        <f>'План учебного процесса'!J14</f>
        <v>70</v>
      </c>
      <c r="J18" s="275"/>
      <c r="K18" s="275"/>
      <c r="L18" s="275"/>
      <c r="M18" s="275">
        <f>'План учебного процесса'!S14+'План учебного процесса'!W14</f>
        <v>2</v>
      </c>
      <c r="N18" s="275">
        <f t="shared" si="2"/>
        <v>72</v>
      </c>
      <c r="O18" s="276">
        <f>'План учебного процесса'!P14</f>
        <v>30</v>
      </c>
      <c r="P18" s="276">
        <f>'План учебного процесса'!Q14</f>
        <v>30</v>
      </c>
      <c r="Q18" s="276">
        <f t="shared" si="3"/>
        <v>1.7647058823529411</v>
      </c>
      <c r="R18" s="276">
        <f>'План учебного процесса'!T14</f>
        <v>42</v>
      </c>
      <c r="S18" s="276">
        <f>'План учебного процесса'!U14</f>
        <v>40</v>
      </c>
      <c r="T18" s="276">
        <f t="shared" si="4"/>
        <v>1.75</v>
      </c>
      <c r="U18" s="274" t="s">
        <v>285</v>
      </c>
    </row>
    <row r="19" spans="1:21" x14ac:dyDescent="0.2">
      <c r="A19" s="274" t="s">
        <v>384</v>
      </c>
      <c r="B19" s="274" t="str">
        <f>'План учебного процесса'!A15</f>
        <v>ОД.07</v>
      </c>
      <c r="C19" s="274" t="str">
        <f>'План учебного процесса'!B15</f>
        <v>Математика</v>
      </c>
      <c r="D19" s="275">
        <f>'План учебного процесса'!D15</f>
        <v>0</v>
      </c>
      <c r="E19" s="275">
        <f>'План учебного процесса'!E15</f>
        <v>0</v>
      </c>
      <c r="F19" s="275">
        <f>'План учебного процесса'!F15</f>
        <v>1.2</v>
      </c>
      <c r="G19" s="275">
        <f>'План учебного процесса'!G15</f>
        <v>340</v>
      </c>
      <c r="H19" s="275">
        <f>'План учебного процесса'!I15</f>
        <v>332</v>
      </c>
      <c r="I19" s="275">
        <f>'План учебного процесса'!J15</f>
        <v>0</v>
      </c>
      <c r="J19" s="275"/>
      <c r="K19" s="275"/>
      <c r="L19" s="275"/>
      <c r="M19" s="275">
        <f>'План учебного процесса'!S15+'План учебного процесса'!W15</f>
        <v>8</v>
      </c>
      <c r="N19" s="275">
        <f t="shared" si="2"/>
        <v>340</v>
      </c>
      <c r="O19" s="276">
        <f>'План учебного процесса'!P15</f>
        <v>134</v>
      </c>
      <c r="P19" s="276">
        <f>'План учебного процесса'!Q15</f>
        <v>0</v>
      </c>
      <c r="Q19" s="276">
        <f t="shared" si="3"/>
        <v>7.882352941176471</v>
      </c>
      <c r="R19" s="276">
        <f>'План учебного процесса'!T15</f>
        <v>206</v>
      </c>
      <c r="S19" s="276">
        <f>'План учебного процесса'!U15</f>
        <v>0</v>
      </c>
      <c r="T19" s="276">
        <f t="shared" si="4"/>
        <v>8.5833333333333339</v>
      </c>
      <c r="U19" s="274" t="s">
        <v>408</v>
      </c>
    </row>
    <row r="20" spans="1:21" x14ac:dyDescent="0.2">
      <c r="A20" s="274" t="s">
        <v>385</v>
      </c>
      <c r="B20" s="274" t="str">
        <f>'План учебного процесса'!A16</f>
        <v>ОД.08</v>
      </c>
      <c r="C20" s="274" t="str">
        <f>'План учебного процесса'!B16</f>
        <v>Информатика</v>
      </c>
      <c r="D20" s="275">
        <f>'План учебного процесса'!D16</f>
        <v>0</v>
      </c>
      <c r="E20" s="275">
        <f>'План учебного процесса'!E16</f>
        <v>2</v>
      </c>
      <c r="F20" s="275">
        <f>'План учебного процесса'!F16</f>
        <v>0</v>
      </c>
      <c r="G20" s="275">
        <f>'План учебного процесса'!G16</f>
        <v>108</v>
      </c>
      <c r="H20" s="275">
        <f>'План учебного процесса'!I16</f>
        <v>26</v>
      </c>
      <c r="I20" s="275">
        <f>'План учебного процесса'!J16</f>
        <v>80</v>
      </c>
      <c r="J20" s="275"/>
      <c r="K20" s="275"/>
      <c r="L20" s="275"/>
      <c r="M20" s="275">
        <f>'План учебного процесса'!S16+'План учебного процесса'!W16</f>
        <v>2</v>
      </c>
      <c r="N20" s="275">
        <f t="shared" si="2"/>
        <v>108</v>
      </c>
      <c r="O20" s="276">
        <f>'План учебного процесса'!P16</f>
        <v>50</v>
      </c>
      <c r="P20" s="276">
        <f>'План учебного процесса'!Q16</f>
        <v>40</v>
      </c>
      <c r="Q20" s="276">
        <f t="shared" si="3"/>
        <v>2.9411764705882355</v>
      </c>
      <c r="R20" s="276">
        <f>'План учебного процесса'!T16</f>
        <v>58</v>
      </c>
      <c r="S20" s="276">
        <f>'План учебного процесса'!U16</f>
        <v>40</v>
      </c>
      <c r="T20" s="276">
        <f t="shared" si="4"/>
        <v>2.4166666666666665</v>
      </c>
      <c r="U20" s="274" t="s">
        <v>409</v>
      </c>
    </row>
    <row r="21" spans="1:21" x14ac:dyDescent="0.2">
      <c r="A21" s="274" t="s">
        <v>386</v>
      </c>
      <c r="B21" s="274" t="str">
        <f>'План учебного процесса'!A17</f>
        <v>ОД.09</v>
      </c>
      <c r="C21" s="274" t="str">
        <f>'План учебного процесса'!B17</f>
        <v>Физическая культура</v>
      </c>
      <c r="D21" s="275">
        <f>'План учебного процесса'!D17</f>
        <v>1.2</v>
      </c>
      <c r="E21" s="275">
        <f>'План учебного процесса'!E17</f>
        <v>0</v>
      </c>
      <c r="F21" s="275">
        <f>'План учебного процесса'!F17</f>
        <v>0</v>
      </c>
      <c r="G21" s="275">
        <f>'План учебного процесса'!G17</f>
        <v>72</v>
      </c>
      <c r="H21" s="275">
        <f>'План учебного процесса'!I17</f>
        <v>2</v>
      </c>
      <c r="I21" s="275">
        <f>'План учебного процесса'!J17</f>
        <v>66</v>
      </c>
      <c r="J21" s="275"/>
      <c r="K21" s="275"/>
      <c r="L21" s="275"/>
      <c r="M21" s="275">
        <f>'План учебного процесса'!S17+'План учебного процесса'!W17</f>
        <v>4</v>
      </c>
      <c r="N21" s="275">
        <f t="shared" si="2"/>
        <v>72</v>
      </c>
      <c r="O21" s="276">
        <f>'План учебного процесса'!P17</f>
        <v>30</v>
      </c>
      <c r="P21" s="276">
        <f>'План учебного процесса'!Q17</f>
        <v>28</v>
      </c>
      <c r="Q21" s="276">
        <f t="shared" si="3"/>
        <v>1.7647058823529411</v>
      </c>
      <c r="R21" s="276">
        <f>'План учебного процесса'!T17</f>
        <v>42</v>
      </c>
      <c r="S21" s="276">
        <f>'План учебного процесса'!U17</f>
        <v>38</v>
      </c>
      <c r="T21" s="276">
        <f t="shared" si="4"/>
        <v>1.75</v>
      </c>
      <c r="U21" s="277" t="s">
        <v>326</v>
      </c>
    </row>
    <row r="22" spans="1:21" ht="24" x14ac:dyDescent="0.2">
      <c r="A22" s="274" t="s">
        <v>388</v>
      </c>
      <c r="B22" s="274" t="str">
        <f>'План учебного процесса'!A18</f>
        <v>ОД.10</v>
      </c>
      <c r="C22" s="274" t="str">
        <f>'План учебного процесса'!B18</f>
        <v>Основы безопасности и защиты Родины</v>
      </c>
      <c r="D22" s="275">
        <f>'План учебного процесса'!D18</f>
        <v>0</v>
      </c>
      <c r="E22" s="275">
        <f>'План учебного процесса'!E18</f>
        <v>2</v>
      </c>
      <c r="F22" s="275">
        <f>'План учебного процесса'!F18</f>
        <v>0</v>
      </c>
      <c r="G22" s="275">
        <f>'План учебного процесса'!G18</f>
        <v>68</v>
      </c>
      <c r="H22" s="275">
        <f>'План учебного процесса'!I18</f>
        <v>20</v>
      </c>
      <c r="I22" s="275">
        <f>'План учебного процесса'!J18</f>
        <v>46</v>
      </c>
      <c r="J22" s="275"/>
      <c r="K22" s="275"/>
      <c r="L22" s="275"/>
      <c r="M22" s="275">
        <f>'План учебного процесса'!S18+'План учебного процесса'!W18</f>
        <v>2</v>
      </c>
      <c r="N22" s="275">
        <f t="shared" si="2"/>
        <v>68</v>
      </c>
      <c r="O22" s="276">
        <f>'План учебного процесса'!P18</f>
        <v>30</v>
      </c>
      <c r="P22" s="276">
        <f>'План учебного процесса'!Q18</f>
        <v>16</v>
      </c>
      <c r="Q22" s="276">
        <f t="shared" si="3"/>
        <v>1.7647058823529411</v>
      </c>
      <c r="R22" s="276">
        <f>'План учебного процесса'!T18</f>
        <v>38</v>
      </c>
      <c r="S22" s="276">
        <f>'План учебного процесса'!U18</f>
        <v>30</v>
      </c>
      <c r="T22" s="276">
        <f t="shared" si="4"/>
        <v>1.5833333333333333</v>
      </c>
      <c r="U22" s="274" t="s">
        <v>387</v>
      </c>
    </row>
    <row r="23" spans="1:21" x14ac:dyDescent="0.2">
      <c r="A23" s="274" t="s">
        <v>390</v>
      </c>
      <c r="B23" s="274" t="str">
        <f>'План учебного процесса'!A19</f>
        <v>ОД.11</v>
      </c>
      <c r="C23" s="274" t="str">
        <f>'План учебного процесса'!B19</f>
        <v>Физика</v>
      </c>
      <c r="D23" s="275">
        <f>'План учебного процесса'!D19</f>
        <v>0</v>
      </c>
      <c r="E23" s="275">
        <f>'План учебного процесса'!E19</f>
        <v>2</v>
      </c>
      <c r="F23" s="275">
        <f>'План учебного процесса'!F19</f>
        <v>0</v>
      </c>
      <c r="G23" s="275">
        <f>'План учебного процесса'!G19</f>
        <v>108</v>
      </c>
      <c r="H23" s="275">
        <f>'План учебного процесса'!I19</f>
        <v>70</v>
      </c>
      <c r="I23" s="275">
        <f>'План учебного процесса'!J19</f>
        <v>36</v>
      </c>
      <c r="J23" s="275"/>
      <c r="K23" s="275"/>
      <c r="L23" s="275"/>
      <c r="M23" s="275">
        <f>'План учебного процесса'!S19+'План учебного процесса'!W19</f>
        <v>2</v>
      </c>
      <c r="N23" s="275">
        <f t="shared" si="2"/>
        <v>108</v>
      </c>
      <c r="O23" s="276">
        <f>'План учебного процесса'!P19</f>
        <v>44</v>
      </c>
      <c r="P23" s="276">
        <f>'План учебного процесса'!Q19</f>
        <v>10</v>
      </c>
      <c r="Q23" s="276">
        <f t="shared" si="3"/>
        <v>2.5882352941176472</v>
      </c>
      <c r="R23" s="276">
        <f>'План учебного процесса'!T19</f>
        <v>64</v>
      </c>
      <c r="S23" s="276">
        <f>'План учебного процесса'!U19</f>
        <v>26</v>
      </c>
      <c r="T23" s="276">
        <f t="shared" si="4"/>
        <v>2.6666666666666665</v>
      </c>
      <c r="U23" s="274" t="s">
        <v>391</v>
      </c>
    </row>
    <row r="24" spans="1:21" x14ac:dyDescent="0.2">
      <c r="A24" s="274" t="s">
        <v>392</v>
      </c>
      <c r="B24" s="274" t="str">
        <f>'План учебного процесса'!A20</f>
        <v>ОД.12</v>
      </c>
      <c r="C24" s="274" t="str">
        <f>'План учебного процесса'!B20</f>
        <v>Химия</v>
      </c>
      <c r="D24" s="275">
        <f>'План учебного процесса'!D20</f>
        <v>0</v>
      </c>
      <c r="E24" s="275">
        <f>'План учебного процесса'!E20</f>
        <v>2</v>
      </c>
      <c r="F24" s="275">
        <f>'План учебного процесса'!F20</f>
        <v>0</v>
      </c>
      <c r="G24" s="275">
        <f>'План учебного процесса'!G20</f>
        <v>72</v>
      </c>
      <c r="H24" s="275">
        <f>'План учебного процесса'!I20</f>
        <v>42</v>
      </c>
      <c r="I24" s="275">
        <f>'План учебного процесса'!J20</f>
        <v>28</v>
      </c>
      <c r="J24" s="275"/>
      <c r="K24" s="275"/>
      <c r="L24" s="275"/>
      <c r="M24" s="275">
        <f>'План учебного процесса'!S20+'План учебного процесса'!W20</f>
        <v>2</v>
      </c>
      <c r="N24" s="275">
        <f t="shared" si="2"/>
        <v>72</v>
      </c>
      <c r="O24" s="276">
        <f>'План учебного процесса'!P20</f>
        <v>30</v>
      </c>
      <c r="P24" s="276">
        <f>'План учебного процесса'!Q20</f>
        <v>16</v>
      </c>
      <c r="Q24" s="276">
        <f t="shared" si="3"/>
        <v>1.7647058823529411</v>
      </c>
      <c r="R24" s="276">
        <f>'План учебного процесса'!T20</f>
        <v>42</v>
      </c>
      <c r="S24" s="276">
        <f>'План учебного процесса'!U20</f>
        <v>12</v>
      </c>
      <c r="T24" s="276">
        <f t="shared" si="4"/>
        <v>1.75</v>
      </c>
      <c r="U24" s="274" t="s">
        <v>300</v>
      </c>
    </row>
    <row r="25" spans="1:21" x14ac:dyDescent="0.2">
      <c r="A25" s="274" t="s">
        <v>393</v>
      </c>
      <c r="B25" s="274" t="str">
        <f>'План учебного процесса'!A21</f>
        <v>ОД.13</v>
      </c>
      <c r="C25" s="274" t="str">
        <f>'План учебного процесса'!B21</f>
        <v>Биология</v>
      </c>
      <c r="D25" s="275">
        <f>'План учебного процесса'!D21</f>
        <v>0</v>
      </c>
      <c r="E25" s="275">
        <f>'План учебного процесса'!E21</f>
        <v>0</v>
      </c>
      <c r="F25" s="275">
        <f>'План учебного процесса'!F21</f>
        <v>1.2</v>
      </c>
      <c r="G25" s="275">
        <f>'План учебного процесса'!G21</f>
        <v>144</v>
      </c>
      <c r="H25" s="275">
        <f>'План учебного процесса'!I21</f>
        <v>86</v>
      </c>
      <c r="I25" s="275">
        <f>'План учебного процесса'!J21</f>
        <v>50</v>
      </c>
      <c r="J25" s="275"/>
      <c r="K25" s="275"/>
      <c r="L25" s="275"/>
      <c r="M25" s="275">
        <f>'План учебного процесса'!S21+'План учебного процесса'!W21</f>
        <v>8</v>
      </c>
      <c r="N25" s="275">
        <f t="shared" si="2"/>
        <v>144</v>
      </c>
      <c r="O25" s="276">
        <f>'План учебного процесса'!P21</f>
        <v>50</v>
      </c>
      <c r="P25" s="276">
        <f>'План учебного процесса'!Q21</f>
        <v>0</v>
      </c>
      <c r="Q25" s="276">
        <f t="shared" si="3"/>
        <v>2.9411764705882355</v>
      </c>
      <c r="R25" s="276">
        <f>'План учебного процесса'!T21</f>
        <v>94</v>
      </c>
      <c r="S25" s="276">
        <f>'План учебного процесса'!U21</f>
        <v>50</v>
      </c>
      <c r="T25" s="276">
        <f t="shared" si="4"/>
        <v>3.9166666666666665</v>
      </c>
      <c r="U25" s="274" t="s">
        <v>296</v>
      </c>
    </row>
    <row r="26" spans="1:21" x14ac:dyDescent="0.2">
      <c r="A26" s="274" t="s">
        <v>394</v>
      </c>
      <c r="B26" s="274" t="str">
        <f>'План учебного процесса'!A22</f>
        <v>ОД.14</v>
      </c>
      <c r="C26" s="274" t="str">
        <f>'План учебного процесса'!B22</f>
        <v>Индивидуальный проект</v>
      </c>
      <c r="D26" s="275">
        <f>'План учебного процесса'!D22</f>
        <v>0</v>
      </c>
      <c r="E26" s="275">
        <f>'План учебного процесса'!E22</f>
        <v>1</v>
      </c>
      <c r="F26" s="275">
        <f>'План учебного процесса'!F22</f>
        <v>0</v>
      </c>
      <c r="G26" s="275">
        <f>'План учебного процесса'!G22</f>
        <v>32</v>
      </c>
      <c r="H26" s="275">
        <f>'План учебного процесса'!I22</f>
        <v>0</v>
      </c>
      <c r="I26" s="275">
        <f>'План учебного процесса'!J22</f>
        <v>30</v>
      </c>
      <c r="J26" s="275"/>
      <c r="K26" s="275"/>
      <c r="L26" s="275"/>
      <c r="M26" s="275">
        <f>'План учебного процесса'!S22+'План учебного процесса'!W22</f>
        <v>2</v>
      </c>
      <c r="N26" s="275">
        <f t="shared" si="2"/>
        <v>32</v>
      </c>
      <c r="O26" s="276">
        <f>'План учебного процесса'!P22</f>
        <v>32</v>
      </c>
      <c r="P26" s="276">
        <f>'План учебного процесса'!Q22</f>
        <v>30</v>
      </c>
      <c r="Q26" s="276">
        <f t="shared" si="3"/>
        <v>1.8823529411764706</v>
      </c>
      <c r="R26" s="276">
        <f>'План учебного процесса'!T22</f>
        <v>0</v>
      </c>
      <c r="S26" s="276">
        <f>'План учебного процесса'!U22</f>
        <v>0</v>
      </c>
      <c r="T26" s="276">
        <f t="shared" si="4"/>
        <v>0</v>
      </c>
      <c r="U26" s="277" t="s">
        <v>391</v>
      </c>
    </row>
    <row r="27" spans="1:21" x14ac:dyDescent="0.2">
      <c r="A27" s="277"/>
      <c r="B27" s="277"/>
      <c r="C27" s="278" t="s">
        <v>395</v>
      </c>
      <c r="D27" s="279"/>
      <c r="E27" s="279"/>
      <c r="F27" s="279"/>
      <c r="G27" s="279">
        <f>SUM(G13:G26)</f>
        <v>1476</v>
      </c>
      <c r="H27" s="280"/>
      <c r="I27" s="280"/>
      <c r="J27" s="280"/>
      <c r="K27" s="280"/>
      <c r="L27" s="279"/>
      <c r="M27" s="279"/>
      <c r="N27" s="279">
        <f>SUM(N13:N26)</f>
        <v>1476</v>
      </c>
      <c r="O27" s="279">
        <f>SUM(O13:O26)</f>
        <v>612</v>
      </c>
      <c r="P27" s="279"/>
      <c r="Q27" s="281">
        <f>SUM(Q13:Q26)</f>
        <v>36.000000000000007</v>
      </c>
      <c r="R27" s="279">
        <f>SUM(R13:R26)</f>
        <v>864</v>
      </c>
      <c r="S27" s="279"/>
      <c r="T27" s="281">
        <f>SUM(T13:T26)</f>
        <v>35.999999999999993</v>
      </c>
      <c r="U27" s="274"/>
    </row>
  </sheetData>
  <mergeCells count="21">
    <mergeCell ref="O10:Q10"/>
    <mergeCell ref="R10:T10"/>
    <mergeCell ref="A1:U1"/>
    <mergeCell ref="A9:A12"/>
    <mergeCell ref="C9:C12"/>
    <mergeCell ref="D9:F9"/>
    <mergeCell ref="G9:M9"/>
    <mergeCell ref="N9:N12"/>
    <mergeCell ref="O9:T9"/>
    <mergeCell ref="U9:U12"/>
    <mergeCell ref="F10:F12"/>
    <mergeCell ref="E10:E12"/>
    <mergeCell ref="D10:D12"/>
    <mergeCell ref="G10:G12"/>
    <mergeCell ref="B9:B12"/>
    <mergeCell ref="M11:M12"/>
    <mergeCell ref="H10:M10"/>
    <mergeCell ref="I11:J11"/>
    <mergeCell ref="L11:L12"/>
    <mergeCell ref="H11:H12"/>
    <mergeCell ref="K11:K12"/>
  </mergeCells>
  <conditionalFormatting sqref="D13:F26">
    <cfRule type="cellIs" dxfId="6" priority="5" operator="equal">
      <formula>0</formula>
    </cfRule>
  </conditionalFormatting>
  <conditionalFormatting sqref="H13:M26">
    <cfRule type="cellIs" dxfId="5" priority="1" operator="equal">
      <formula>0</formula>
    </cfRule>
  </conditionalFormatting>
  <conditionalFormatting sqref="O13:T26">
    <cfRule type="cellIs" dxfId="4" priority="3" operator="equal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2"/>
  <sheetViews>
    <sheetView topLeftCell="A10" zoomScale="130" zoomScaleNormal="130" workbookViewId="0">
      <selection activeCell="U30" sqref="U30"/>
    </sheetView>
  </sheetViews>
  <sheetFormatPr defaultColWidth="8.7109375" defaultRowHeight="12.75" x14ac:dyDescent="0.2"/>
  <cols>
    <col min="1" max="1" width="3.140625" customWidth="1"/>
    <col min="2" max="2" width="8.85546875" customWidth="1"/>
    <col min="3" max="3" width="34" customWidth="1"/>
    <col min="4" max="6" width="6.5703125" customWidth="1"/>
    <col min="8" max="11" width="7" customWidth="1"/>
    <col min="12" max="12" width="6.7109375" customWidth="1"/>
    <col min="15" max="15" width="7.85546875" customWidth="1"/>
    <col min="16" max="17" width="8.85546875" bestFit="1" customWidth="1"/>
    <col min="18" max="18" width="9.42578125" bestFit="1" customWidth="1"/>
    <col min="19" max="20" width="8.85546875" bestFit="1" customWidth="1"/>
    <col min="21" max="21" width="25.28515625" customWidth="1"/>
  </cols>
  <sheetData>
    <row r="1" spans="1:21" ht="27" customHeight="1" x14ac:dyDescent="0.2">
      <c r="A1" s="364" t="s">
        <v>404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</row>
    <row r="2" spans="1:21" ht="13.5" x14ac:dyDescent="0.25">
      <c r="A2" s="28"/>
      <c r="B2" s="28"/>
      <c r="C2" s="28" t="s">
        <v>354</v>
      </c>
      <c r="D2" s="271" t="s">
        <v>403</v>
      </c>
      <c r="E2" s="28"/>
      <c r="F2" s="28"/>
      <c r="K2" s="28"/>
      <c r="L2" s="28"/>
      <c r="M2" s="28"/>
      <c r="N2" s="28"/>
      <c r="O2" s="28"/>
      <c r="P2" s="28"/>
      <c r="Q2" s="28"/>
      <c r="R2" s="28" t="s">
        <v>405</v>
      </c>
      <c r="S2" s="282"/>
      <c r="T2" s="28"/>
      <c r="U2" s="28"/>
    </row>
    <row r="3" spans="1:21" ht="13.5" x14ac:dyDescent="0.25">
      <c r="A3" s="28"/>
      <c r="B3" s="28"/>
      <c r="C3" s="28" t="s">
        <v>355</v>
      </c>
      <c r="D3" s="271" t="s">
        <v>400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3.5" x14ac:dyDescent="0.25">
      <c r="A4" s="28"/>
      <c r="B4" s="28"/>
      <c r="C4" s="28" t="s">
        <v>179</v>
      </c>
      <c r="D4" s="272">
        <v>2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 ht="13.5" x14ac:dyDescent="0.25">
      <c r="A5" s="28"/>
      <c r="B5" s="28"/>
      <c r="C5" s="28" t="s">
        <v>180</v>
      </c>
      <c r="D5" s="27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3.5" x14ac:dyDescent="0.25">
      <c r="A6" s="28"/>
      <c r="B6" s="28"/>
      <c r="C6" s="28" t="s">
        <v>356</v>
      </c>
      <c r="D6" s="272">
        <v>25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 t="s">
        <v>406</v>
      </c>
      <c r="S6" s="28"/>
      <c r="T6" s="28"/>
      <c r="U6" s="28"/>
    </row>
    <row r="7" spans="1:21" ht="13.5" x14ac:dyDescent="0.25">
      <c r="A7" s="28"/>
      <c r="B7" s="28"/>
      <c r="C7" s="28" t="s">
        <v>357</v>
      </c>
      <c r="D7" s="272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spans="1:21" ht="20.45" customHeight="1" x14ac:dyDescent="0.2">
      <c r="A9" s="363" t="s">
        <v>278</v>
      </c>
      <c r="B9" s="365" t="s">
        <v>13</v>
      </c>
      <c r="C9" s="363" t="s">
        <v>358</v>
      </c>
      <c r="D9" s="363" t="s">
        <v>359</v>
      </c>
      <c r="E9" s="363"/>
      <c r="F9" s="363"/>
      <c r="G9" s="363" t="s">
        <v>360</v>
      </c>
      <c r="H9" s="363"/>
      <c r="I9" s="363"/>
      <c r="J9" s="363"/>
      <c r="K9" s="363"/>
      <c r="L9" s="363"/>
      <c r="M9" s="363"/>
      <c r="N9" s="365" t="s">
        <v>361</v>
      </c>
      <c r="O9" s="363" t="s">
        <v>362</v>
      </c>
      <c r="P9" s="363"/>
      <c r="Q9" s="363"/>
      <c r="R9" s="363"/>
      <c r="S9" s="363"/>
      <c r="T9" s="363"/>
      <c r="U9" s="363" t="s">
        <v>363</v>
      </c>
    </row>
    <row r="10" spans="1:21" ht="17.100000000000001" customHeight="1" x14ac:dyDescent="0.2">
      <c r="A10" s="363"/>
      <c r="B10" s="365"/>
      <c r="C10" s="363"/>
      <c r="D10" s="365" t="s">
        <v>366</v>
      </c>
      <c r="E10" s="365" t="s">
        <v>365</v>
      </c>
      <c r="F10" s="365" t="s">
        <v>364</v>
      </c>
      <c r="G10" s="365" t="s">
        <v>367</v>
      </c>
      <c r="H10" s="357" t="s">
        <v>410</v>
      </c>
      <c r="I10" s="358"/>
      <c r="J10" s="358"/>
      <c r="K10" s="358"/>
      <c r="L10" s="358"/>
      <c r="M10" s="358"/>
      <c r="N10" s="365"/>
      <c r="O10" s="363" t="str">
        <f>'План учебного процесса'!X5</f>
        <v>3 семестр</v>
      </c>
      <c r="P10" s="363"/>
      <c r="Q10" s="363"/>
      <c r="R10" s="363" t="str">
        <f>'План учебного процесса'!AC5</f>
        <v xml:space="preserve">4  семестр </v>
      </c>
      <c r="S10" s="363"/>
      <c r="T10" s="363"/>
      <c r="U10" s="363"/>
    </row>
    <row r="11" spans="1:21" ht="18.600000000000001" customHeight="1" x14ac:dyDescent="0.2">
      <c r="A11" s="363"/>
      <c r="B11" s="365"/>
      <c r="C11" s="363"/>
      <c r="D11" s="365"/>
      <c r="E11" s="365"/>
      <c r="F11" s="365"/>
      <c r="G11" s="365"/>
      <c r="H11" s="361" t="s">
        <v>271</v>
      </c>
      <c r="I11" s="359" t="s">
        <v>411</v>
      </c>
      <c r="J11" s="360"/>
      <c r="K11" s="361" t="s">
        <v>369</v>
      </c>
      <c r="L11" s="361" t="s">
        <v>368</v>
      </c>
      <c r="M11" s="361" t="s">
        <v>33</v>
      </c>
      <c r="N11" s="365"/>
      <c r="O11" s="274"/>
      <c r="P11" s="275">
        <f>'План учебного процесса'!X7</f>
        <v>17</v>
      </c>
      <c r="Q11" s="274" t="s">
        <v>370</v>
      </c>
      <c r="R11" s="274"/>
      <c r="S11" s="275">
        <f>'План учебного процесса'!AC7</f>
        <v>24.5</v>
      </c>
      <c r="T11" s="274" t="s">
        <v>370</v>
      </c>
      <c r="U11" s="363"/>
    </row>
    <row r="12" spans="1:21" ht="53.1" customHeight="1" x14ac:dyDescent="0.2">
      <c r="A12" s="363"/>
      <c r="B12" s="365"/>
      <c r="C12" s="363"/>
      <c r="D12" s="365"/>
      <c r="E12" s="365"/>
      <c r="F12" s="365"/>
      <c r="G12" s="365"/>
      <c r="H12" s="362"/>
      <c r="I12" s="284" t="s">
        <v>198</v>
      </c>
      <c r="J12" s="284" t="s">
        <v>371</v>
      </c>
      <c r="K12" s="362"/>
      <c r="L12" s="362"/>
      <c r="M12" s="362"/>
      <c r="N12" s="365"/>
      <c r="O12" s="273" t="s">
        <v>198</v>
      </c>
      <c r="P12" s="273" t="s">
        <v>372</v>
      </c>
      <c r="Q12" s="273" t="s">
        <v>373</v>
      </c>
      <c r="R12" s="273" t="s">
        <v>198</v>
      </c>
      <c r="S12" s="273" t="s">
        <v>374</v>
      </c>
      <c r="T12" s="273" t="s">
        <v>373</v>
      </c>
      <c r="U12" s="363"/>
    </row>
    <row r="13" spans="1:21" x14ac:dyDescent="0.2">
      <c r="A13" s="275">
        <v>1</v>
      </c>
      <c r="B13" s="275" t="str">
        <f>'План учебного процесса'!A24</f>
        <v>СГ.01</v>
      </c>
      <c r="C13" s="274" t="str">
        <f>VLOOKUP(B13,'План учебного процесса'!$A$24:$B$72,2,FALSE)</f>
        <v>История России</v>
      </c>
      <c r="D13" s="275">
        <f>VLOOKUP($C13,'План учебного процесса'!$B$24:$AG$72,3,FALSE)</f>
        <v>0</v>
      </c>
      <c r="E13" s="275">
        <f>VLOOKUP($C13,'План учебного процесса'!$B$24:$AG$72,4,FALSE)</f>
        <v>3</v>
      </c>
      <c r="F13" s="275">
        <f>VLOOKUP($C13,'План учебного процесса'!$B$24:$AG$72,5,FALSE)</f>
        <v>0</v>
      </c>
      <c r="G13" s="275">
        <f>O13+R13</f>
        <v>36</v>
      </c>
      <c r="H13" s="275">
        <f>VLOOKUP($C13,'План учебного процесса'!$B$24:$AG$72,8,FALSE)</f>
        <v>14</v>
      </c>
      <c r="I13" s="275">
        <f>VLOOKUP($C13,'План учебного процесса'!$B$24:$AG$72,9,FALSE)</f>
        <v>18</v>
      </c>
      <c r="J13" s="275"/>
      <c r="K13" s="275">
        <f>VLOOKUP($C13,'План учебного процесса'!$B$24:$AG$72,10,FALSE)</f>
        <v>0</v>
      </c>
      <c r="L13" s="275">
        <f>VLOOKUP($C13,'План учебного процесса'!$B$24:$AG$72,26,FALSE)+VLOOKUP($C13,'План учебного процесса'!$B$24:$AG$72,31,FALSE)</f>
        <v>2</v>
      </c>
      <c r="M13" s="275">
        <f>VLOOKUP($C13,'План учебного процесса'!$B$24:$AG$72,27,FALSE)+VLOOKUP($C13,'План учебного процесса'!$B$24:$AG$72,32,FALSE)</f>
        <v>2</v>
      </c>
      <c r="N13" s="275">
        <f t="shared" ref="N13:N31" si="0">G13+J13-L13</f>
        <v>34</v>
      </c>
      <c r="O13" s="275">
        <f>VLOOKUP($C13,'План учебного процесса'!$B$24:$AG$72,23,FALSE)</f>
        <v>36</v>
      </c>
      <c r="P13" s="275">
        <f>VLOOKUP($C13,'План учебного процесса'!$B$24:$AG$72,24,FALSE)</f>
        <v>18</v>
      </c>
      <c r="Q13" s="276">
        <f>O13/$P$11</f>
        <v>2.1176470588235294</v>
      </c>
      <c r="R13" s="275">
        <f>VLOOKUP($C13,'План учебного процесса'!$B$24:$AG$72,28,FALSE)</f>
        <v>0</v>
      </c>
      <c r="S13" s="275">
        <f>VLOOKUP($C13,'План учебного процесса'!$B$24:$AG$72,29,FALSE)</f>
        <v>0</v>
      </c>
      <c r="T13" s="276">
        <f>R13/$S$11</f>
        <v>0</v>
      </c>
      <c r="U13" s="274" t="s">
        <v>379</v>
      </c>
    </row>
    <row r="14" spans="1:21" ht="24" x14ac:dyDescent="0.2">
      <c r="A14" s="275">
        <v>2</v>
      </c>
      <c r="B14" s="275" t="str">
        <f>'План учебного процесса'!A25</f>
        <v>СГ.02</v>
      </c>
      <c r="C14" s="274" t="str">
        <f>VLOOKUP(B14,'План учебного процесса'!$A$24:$B$72,2,FALSE)</f>
        <v>Иностранный язык в профессиональной деятельности</v>
      </c>
      <c r="D14" s="275">
        <f>VLOOKUP($C14,'План учебного процесса'!$B$24:$AG$72,3,FALSE)</f>
        <v>4</v>
      </c>
      <c r="E14" s="275"/>
      <c r="F14" s="275">
        <f>VLOOKUP($C14,'План учебного процесса'!$B$24:$AG$72,5,FALSE)</f>
        <v>0</v>
      </c>
      <c r="G14" s="275">
        <f>O14+R14</f>
        <v>86</v>
      </c>
      <c r="H14" s="275">
        <f>VLOOKUP($C14,'План учебного процесса'!$B$24:$AG$72,8,FALSE)</f>
        <v>0</v>
      </c>
      <c r="I14" s="275">
        <f>P14+S14</f>
        <v>80</v>
      </c>
      <c r="J14" s="275"/>
      <c r="K14" s="275">
        <f>VLOOKUP($C14,'План учебного процесса'!$B$24:$AG$72,10,FALSE)</f>
        <v>0</v>
      </c>
      <c r="L14" s="275">
        <f>VLOOKUP($C14,'План учебного процесса'!$B$24:$AG$72,26,FALSE)+VLOOKUP($C14,'План учебного процесса'!$B$24:$AG$72,31,FALSE)</f>
        <v>4</v>
      </c>
      <c r="M14" s="275">
        <f>VLOOKUP($C14,'План учебного процесса'!$B$24:$AG$72,27,FALSE)+VLOOKUP($C14,'План учебного процесса'!$B$24:$AG$72,32,FALSE)</f>
        <v>2</v>
      </c>
      <c r="N14" s="275">
        <f t="shared" si="0"/>
        <v>82</v>
      </c>
      <c r="O14" s="275">
        <f>VLOOKUP($C14,'План учебного процесса'!$B$24:$AG$72,23,FALSE)</f>
        <v>36</v>
      </c>
      <c r="P14" s="275">
        <f>VLOOKUP($C14,'План учебного процесса'!$B$24:$AG$72,24,FALSE)</f>
        <v>34</v>
      </c>
      <c r="Q14" s="276">
        <f t="shared" ref="Q14:Q31" si="1">O14/$P$11</f>
        <v>2.1176470588235294</v>
      </c>
      <c r="R14" s="275">
        <f>VLOOKUP($C14,'План учебного процесса'!$B$24:$AG$72,28,FALSE)</f>
        <v>50</v>
      </c>
      <c r="S14" s="275">
        <f>VLOOKUP($C14,'План учебного процесса'!$B$24:$AG$72,29,FALSE)</f>
        <v>46</v>
      </c>
      <c r="T14" s="276">
        <f t="shared" ref="T14:T31" si="2">R14/$S$11</f>
        <v>2.0408163265306123</v>
      </c>
      <c r="U14" s="274" t="s">
        <v>285</v>
      </c>
    </row>
    <row r="15" spans="1:21" x14ac:dyDescent="0.2">
      <c r="A15" s="275">
        <v>3</v>
      </c>
      <c r="B15" s="275" t="str">
        <f>'План учебного процесса'!A26</f>
        <v>СГ.03</v>
      </c>
      <c r="C15" s="274" t="str">
        <f>VLOOKUP(B15,'План учебного процесса'!$A$24:$B$72,2,FALSE)</f>
        <v>Физическая культура</v>
      </c>
      <c r="D15" s="275">
        <v>3.4</v>
      </c>
      <c r="E15" s="275"/>
      <c r="F15" s="275">
        <f>VLOOKUP($C15,'План учебного процесса'!$B$24:$AG$72,5,FALSE)</f>
        <v>0</v>
      </c>
      <c r="G15" s="275">
        <f t="shared" ref="G15:G31" si="3">O15+R15</f>
        <v>88</v>
      </c>
      <c r="H15" s="275">
        <f>VLOOKUP($C15,'План учебного процесса'!$B$24:$AG$72,8,FALSE)</f>
        <v>0</v>
      </c>
      <c r="I15" s="275">
        <f>P15+S15</f>
        <v>80</v>
      </c>
      <c r="J15" s="275"/>
      <c r="K15" s="275">
        <f>VLOOKUP($C15,'План учебного процесса'!$B$24:$AG$72,10,FALSE)</f>
        <v>0</v>
      </c>
      <c r="L15" s="275">
        <f>VLOOKUP($C15,'План учебного процесса'!$B$24:$AG$72,26,FALSE)+VLOOKUP($C15,'План учебного процесса'!$B$24:$AG$72,31,FALSE)</f>
        <v>4</v>
      </c>
      <c r="M15" s="275">
        <f>VLOOKUP($C15,'План учебного процесса'!$B$24:$AG$72,27,FALSE)+VLOOKUP($C15,'План учебного процесса'!$B$24:$AG$72,32,FALSE)</f>
        <v>4</v>
      </c>
      <c r="N15" s="275">
        <f t="shared" si="0"/>
        <v>84</v>
      </c>
      <c r="O15" s="275">
        <f>VLOOKUP($C15,'План учебного процесса'!$B$24:$AG$72,23,FALSE)</f>
        <v>36</v>
      </c>
      <c r="P15" s="275">
        <f>VLOOKUP($C15,'План учебного процесса'!$B$24:$AG$72,24,FALSE)</f>
        <v>32</v>
      </c>
      <c r="Q15" s="276">
        <f t="shared" si="1"/>
        <v>2.1176470588235294</v>
      </c>
      <c r="R15" s="275">
        <f>VLOOKUP($C15,'План учебного процесса'!$B$24:$AG$72,28,FALSE)</f>
        <v>52</v>
      </c>
      <c r="S15" s="275">
        <f>VLOOKUP($C15,'План учебного процесса'!$B$24:$AG$72,29,FALSE)</f>
        <v>48</v>
      </c>
      <c r="T15" s="276">
        <f t="shared" si="2"/>
        <v>2.1224489795918369</v>
      </c>
      <c r="U15" s="274" t="s">
        <v>326</v>
      </c>
    </row>
    <row r="16" spans="1:21" x14ac:dyDescent="0.2">
      <c r="A16" s="275">
        <v>4</v>
      </c>
      <c r="B16" s="275" t="str">
        <f>'План учебного процесса'!A27</f>
        <v>СГ.04</v>
      </c>
      <c r="C16" s="274" t="str">
        <f>VLOOKUP(B16,'План учебного процесса'!$A$24:$B$72,2,FALSE)</f>
        <v>Безопасность жизнедеятельности</v>
      </c>
      <c r="D16" s="275">
        <f>VLOOKUP($C16,'План учебного процесса'!$B$24:$AG$72,3,FALSE)</f>
        <v>0</v>
      </c>
      <c r="E16" s="275">
        <f>VLOOKUP($C16,'План учебного процесса'!$B$24:$AG$72,4,FALSE)</f>
        <v>4</v>
      </c>
      <c r="F16" s="275">
        <f>VLOOKUP($C16,'План учебного процесса'!$B$24:$AG$72,5,FALSE)</f>
        <v>0</v>
      </c>
      <c r="G16" s="275">
        <f t="shared" si="3"/>
        <v>68</v>
      </c>
      <c r="H16" s="275">
        <f>VLOOKUP($C16,'План учебного процесса'!$B$24:$AG$72,8,FALSE)</f>
        <v>34</v>
      </c>
      <c r="I16" s="275">
        <f>VLOOKUP($C16,'План учебного процесса'!$B$24:$AG$72,9,FALSE)</f>
        <v>28</v>
      </c>
      <c r="J16" s="275"/>
      <c r="K16" s="275">
        <f>VLOOKUP($C16,'План учебного процесса'!$B$24:$AG$72,10,FALSE)</f>
        <v>0</v>
      </c>
      <c r="L16" s="275">
        <f>VLOOKUP($C16,'План учебного процесса'!$B$24:$AG$72,26,FALSE)+VLOOKUP($C16,'План учебного процесса'!$B$24:$AG$72,31,FALSE)</f>
        <v>4</v>
      </c>
      <c r="M16" s="275">
        <f>VLOOKUP($C16,'План учебного процесса'!$B$24:$AG$72,27,FALSE)+VLOOKUP($C16,'План учебного процесса'!$B$24:$AG$72,32,FALSE)</f>
        <v>2</v>
      </c>
      <c r="N16" s="275">
        <f t="shared" si="0"/>
        <v>64</v>
      </c>
      <c r="O16" s="275">
        <f>VLOOKUP($C16,'План учебного процесса'!$B$24:$AG$72,23,FALSE)</f>
        <v>34</v>
      </c>
      <c r="P16" s="275">
        <f>VLOOKUP($C16,'План учебного процесса'!$B$24:$AG$72,24,FALSE)</f>
        <v>14</v>
      </c>
      <c r="Q16" s="276">
        <f t="shared" si="1"/>
        <v>2</v>
      </c>
      <c r="R16" s="275">
        <f>VLOOKUP($C16,'План учебного процесса'!$B$24:$AG$72,28,FALSE)</f>
        <v>34</v>
      </c>
      <c r="S16" s="275">
        <f>VLOOKUP($C16,'План учебного процесса'!$B$24:$AG$72,29,FALSE)</f>
        <v>14</v>
      </c>
      <c r="T16" s="276">
        <f t="shared" si="2"/>
        <v>1.3877551020408163</v>
      </c>
      <c r="U16" s="274" t="s">
        <v>300</v>
      </c>
    </row>
    <row r="17" spans="1:21" x14ac:dyDescent="0.2">
      <c r="A17" s="275">
        <v>5</v>
      </c>
      <c r="B17" s="275" t="str">
        <f>'План учебного процесса'!A28</f>
        <v>СГ.05</v>
      </c>
      <c r="C17" s="274" t="str">
        <f>VLOOKUP(B17,'План учебного процесса'!$A$24:$B$72,2,FALSE)</f>
        <v>Основы финансовой грамотности</v>
      </c>
      <c r="D17" s="275">
        <f>VLOOKUP($C17,'План учебного процесса'!$B$24:$AG$72,3,FALSE)</f>
        <v>0</v>
      </c>
      <c r="E17" s="275">
        <f>VLOOKUP($C17,'План учебного процесса'!$B$24:$AG$72,4,FALSE)</f>
        <v>4</v>
      </c>
      <c r="F17" s="275">
        <f>VLOOKUP($C17,'План учебного процесса'!$B$24:$AG$72,5,FALSE)</f>
        <v>0</v>
      </c>
      <c r="G17" s="275">
        <f t="shared" si="3"/>
        <v>36</v>
      </c>
      <c r="H17" s="275">
        <f>VLOOKUP($C17,'План учебного процесса'!$B$24:$AG$72,8,FALSE)</f>
        <v>26</v>
      </c>
      <c r="I17" s="275">
        <f>VLOOKUP($C17,'План учебного процесса'!$B$24:$AG$72,9,FALSE)</f>
        <v>6</v>
      </c>
      <c r="J17" s="275"/>
      <c r="K17" s="275">
        <f>VLOOKUP($C17,'План учебного процесса'!$B$24:$AG$72,10,FALSE)</f>
        <v>0</v>
      </c>
      <c r="L17" s="275">
        <f>VLOOKUP($C17,'План учебного процесса'!$B$24:$AG$72,26,FALSE)+VLOOKUP($C17,'План учебного процесса'!$B$24:$AG$72,31,FALSE)</f>
        <v>2</v>
      </c>
      <c r="M17" s="275">
        <f>VLOOKUP($C17,'План учебного процесса'!$B$24:$AG$72,27,FALSE)+VLOOKUP($C17,'План учебного процесса'!$B$24:$AG$72,32,FALSE)</f>
        <v>2</v>
      </c>
      <c r="N17" s="275">
        <f t="shared" si="0"/>
        <v>34</v>
      </c>
      <c r="O17" s="275">
        <f>VLOOKUP($C17,'План учебного процесса'!$B$24:$AG$72,23,FALSE)</f>
        <v>0</v>
      </c>
      <c r="P17" s="275">
        <f>VLOOKUP($C17,'План учебного процесса'!$B$24:$AG$72,24,FALSE)</f>
        <v>0</v>
      </c>
      <c r="Q17" s="276">
        <f t="shared" si="1"/>
        <v>0</v>
      </c>
      <c r="R17" s="275">
        <f>VLOOKUP($C17,'План учебного процесса'!$B$24:$AG$72,28,FALSE)</f>
        <v>36</v>
      </c>
      <c r="S17" s="275">
        <f>VLOOKUP($C17,'План учебного процесса'!$B$24:$AG$72,29,FALSE)</f>
        <v>6</v>
      </c>
      <c r="T17" s="276">
        <f t="shared" si="2"/>
        <v>1.4693877551020409</v>
      </c>
      <c r="U17" s="274" t="s">
        <v>399</v>
      </c>
    </row>
    <row r="18" spans="1:21" x14ac:dyDescent="0.2">
      <c r="A18" s="275">
        <v>6</v>
      </c>
      <c r="B18" s="275" t="str">
        <f>'План учебного процесса'!A29</f>
        <v>СГ.06</v>
      </c>
      <c r="C18" s="274" t="str">
        <f>VLOOKUP(B18,'План учебного процесса'!$A$24:$B$72,2,FALSE)</f>
        <v>Психология общения</v>
      </c>
      <c r="D18" s="275">
        <f>VLOOKUP($C18,'План учебного процесса'!$B$24:$AG$72,3,FALSE)</f>
        <v>0</v>
      </c>
      <c r="E18" s="275">
        <f>VLOOKUP($C18,'План учебного процесса'!$B$24:$AG$72,4,FALSE)</f>
        <v>3</v>
      </c>
      <c r="F18" s="275">
        <f>VLOOKUP($C18,'План учебного процесса'!$B$24:$AG$72,5,FALSE)</f>
        <v>0</v>
      </c>
      <c r="G18" s="275">
        <f t="shared" si="3"/>
        <v>36</v>
      </c>
      <c r="H18" s="275">
        <f>VLOOKUP($C18,'План учебного процесса'!$B$24:$AG$72,8,FALSE)</f>
        <v>32</v>
      </c>
      <c r="I18" s="275">
        <f>VLOOKUP($C18,'План учебного процесса'!$B$24:$AG$72,9,FALSE)</f>
        <v>0</v>
      </c>
      <c r="J18" s="275"/>
      <c r="K18" s="275">
        <f>VLOOKUP($C18,'План учебного процесса'!$B$24:$AG$72,10,FALSE)</f>
        <v>0</v>
      </c>
      <c r="L18" s="275">
        <f>VLOOKUP($C18,'План учебного процесса'!$B$24:$AG$72,26,FALSE)+VLOOKUP($C18,'План учебного процесса'!$B$24:$AG$72,31,FALSE)</f>
        <v>2</v>
      </c>
      <c r="M18" s="275">
        <f>VLOOKUP($C18,'План учебного процесса'!$B$24:$AG$72,27,FALSE)+VLOOKUP($C18,'План учебного процесса'!$B$24:$AG$72,32,FALSE)</f>
        <v>2</v>
      </c>
      <c r="N18" s="275">
        <f t="shared" si="0"/>
        <v>34</v>
      </c>
      <c r="O18" s="275">
        <f>VLOOKUP($C18,'План учебного процесса'!$B$24:$AG$72,23,FALSE)</f>
        <v>36</v>
      </c>
      <c r="P18" s="275">
        <f>VLOOKUP($C18,'План учебного процесса'!$B$24:$AG$72,24,FALSE)</f>
        <v>0</v>
      </c>
      <c r="Q18" s="276">
        <f t="shared" si="1"/>
        <v>2.1176470588235294</v>
      </c>
      <c r="R18" s="275">
        <f>VLOOKUP($C18,'План учебного процесса'!$B$24:$AG$72,28,FALSE)</f>
        <v>0</v>
      </c>
      <c r="S18" s="275">
        <f>VLOOKUP($C18,'План учебного процесса'!$B$24:$AG$72,29,FALSE)</f>
        <v>0</v>
      </c>
      <c r="T18" s="276">
        <f t="shared" si="2"/>
        <v>0</v>
      </c>
      <c r="U18" s="274" t="s">
        <v>396</v>
      </c>
    </row>
    <row r="19" spans="1:21" x14ac:dyDescent="0.2">
      <c r="A19" s="275">
        <v>7</v>
      </c>
      <c r="B19" s="275" t="str">
        <f>'План учебного процесса'!A30</f>
        <v>СГ.07</v>
      </c>
      <c r="C19" s="274" t="str">
        <f>VLOOKUP(B19,'План учебного процесса'!$A$24:$B$72,2,FALSE)</f>
        <v>Информатика</v>
      </c>
      <c r="D19" s="275">
        <f>VLOOKUP($C19,'План учебного процесса'!$B$24:$AG$72,3,FALSE)</f>
        <v>0</v>
      </c>
      <c r="E19" s="275">
        <f>VLOOKUP($C19,'План учебного процесса'!$B$24:$AG$72,4,FALSE)</f>
        <v>0</v>
      </c>
      <c r="F19" s="275">
        <f>VLOOKUP($C19,'План учебного процесса'!$B$24:$AG$72,5,FALSE)</f>
        <v>4</v>
      </c>
      <c r="G19" s="275">
        <f t="shared" si="3"/>
        <v>64</v>
      </c>
      <c r="H19" s="275">
        <f>VLOOKUP($C19,'План учебного процесса'!$B$24:$AG$72,8,FALSE)</f>
        <v>4</v>
      </c>
      <c r="I19" s="275">
        <f>VLOOKUP($C19,'План учебного процесса'!$B$24:$AG$72,9,FALSE)</f>
        <v>52</v>
      </c>
      <c r="J19" s="275"/>
      <c r="K19" s="275">
        <f>VLOOKUP($C19,'План учебного процесса'!$B$24:$AG$72,10,FALSE)</f>
        <v>0</v>
      </c>
      <c r="L19" s="275">
        <f>VLOOKUP($C19,'План учебного процесса'!$B$24:$AG$72,26,FALSE)+VLOOKUP($C19,'План учебного процесса'!$B$24:$AG$72,31,FALSE)</f>
        <v>4</v>
      </c>
      <c r="M19" s="275">
        <f>VLOOKUP($C19,'План учебного процесса'!$B$24:$AG$72,27,FALSE)+VLOOKUP($C19,'План учебного процесса'!$B$24:$AG$72,32,FALSE)</f>
        <v>4</v>
      </c>
      <c r="N19" s="275">
        <f t="shared" si="0"/>
        <v>60</v>
      </c>
      <c r="O19" s="275">
        <f>VLOOKUP($C19,'План учебного процесса'!$B$24:$AG$72,23,FALSE)</f>
        <v>32</v>
      </c>
      <c r="P19" s="275">
        <f>VLOOKUP($C19,'План учебного процесса'!$B$24:$AG$72,24,FALSE)</f>
        <v>26</v>
      </c>
      <c r="Q19" s="276">
        <f t="shared" si="1"/>
        <v>1.8823529411764706</v>
      </c>
      <c r="R19" s="275">
        <f>VLOOKUP($C19,'План учебного процесса'!$B$24:$AG$72,28,FALSE)</f>
        <v>32</v>
      </c>
      <c r="S19" s="275">
        <f>VLOOKUP($C19,'План учебного процесса'!$B$24:$AG$72,29,FALSE)</f>
        <v>26</v>
      </c>
      <c r="T19" s="276">
        <f t="shared" si="2"/>
        <v>1.3061224489795917</v>
      </c>
      <c r="U19" s="274" t="s">
        <v>287</v>
      </c>
    </row>
    <row r="20" spans="1:21" x14ac:dyDescent="0.2">
      <c r="A20" s="275">
        <v>8</v>
      </c>
      <c r="B20" s="275" t="str">
        <f>'План учебного процесса'!A32</f>
        <v>СГ.09</v>
      </c>
      <c r="C20" s="274" t="str">
        <f>VLOOKUP(B20,'План учебного процесса'!$A$24:$B$72,2,FALSE)</f>
        <v>Основы бережливого производства</v>
      </c>
      <c r="D20" s="275">
        <f>VLOOKUP($C20,'План учебного процесса'!$B$24:$AG$72,3,FALSE)</f>
        <v>0</v>
      </c>
      <c r="E20" s="275">
        <f>VLOOKUP($C20,'План учебного процесса'!$B$24:$AG$72,4,FALSE)</f>
        <v>4</v>
      </c>
      <c r="F20" s="275">
        <f>VLOOKUP($C20,'План учебного процесса'!$B$24:$AG$72,5,FALSE)</f>
        <v>0</v>
      </c>
      <c r="G20" s="275">
        <f t="shared" si="3"/>
        <v>36</v>
      </c>
      <c r="H20" s="275">
        <f>VLOOKUP($C20,'План учебного процесса'!$B$24:$AG$72,8,FALSE)</f>
        <v>26</v>
      </c>
      <c r="I20" s="275">
        <f>VLOOKUP($C20,'План учебного процесса'!$B$24:$AG$72,9,FALSE)</f>
        <v>6</v>
      </c>
      <c r="J20" s="275"/>
      <c r="K20" s="275">
        <f>VLOOKUP($C20,'План учебного процесса'!$B$24:$AG$72,10,FALSE)</f>
        <v>0</v>
      </c>
      <c r="L20" s="275">
        <f>VLOOKUP($C20,'План учебного процесса'!$B$24:$AG$72,26,FALSE)+VLOOKUP($C20,'План учебного процесса'!$B$24:$AG$72,31,FALSE)</f>
        <v>2</v>
      </c>
      <c r="M20" s="275">
        <f>VLOOKUP($C20,'План учебного процесса'!$B$24:$AG$72,27,FALSE)+VLOOKUP($C20,'План учебного процесса'!$B$24:$AG$72,32,FALSE)</f>
        <v>2</v>
      </c>
      <c r="N20" s="275">
        <f t="shared" si="0"/>
        <v>34</v>
      </c>
      <c r="O20" s="275">
        <f>VLOOKUP($C20,'План учебного процесса'!$B$24:$AG$72,23,FALSE)</f>
        <v>0</v>
      </c>
      <c r="P20" s="275">
        <f>VLOOKUP($C20,'План учебного процесса'!$B$24:$AG$72,24,FALSE)</f>
        <v>0</v>
      </c>
      <c r="Q20" s="276">
        <f t="shared" si="1"/>
        <v>0</v>
      </c>
      <c r="R20" s="275">
        <f>VLOOKUP($C20,'План учебного процесса'!$B$24:$AG$72,28,FALSE)</f>
        <v>36</v>
      </c>
      <c r="S20" s="275">
        <f>VLOOKUP($C20,'План учебного процесса'!$B$24:$AG$72,29,FALSE)</f>
        <v>6</v>
      </c>
      <c r="T20" s="276">
        <f t="shared" si="2"/>
        <v>1.4693877551020409</v>
      </c>
      <c r="U20" s="274" t="s">
        <v>399</v>
      </c>
    </row>
    <row r="21" spans="1:21" ht="24" x14ac:dyDescent="0.2">
      <c r="A21" s="275">
        <v>9</v>
      </c>
      <c r="B21" s="275" t="str">
        <f>'План учебного процесса'!A34</f>
        <v>ОП.01</v>
      </c>
      <c r="C21" s="274" t="str">
        <f>VLOOKUP(B21,'План учебного процесса'!$A$24:$B$72,2,FALSE)</f>
        <v>Математические методы решения прикладных профессиональных задач</v>
      </c>
      <c r="D21" s="275">
        <f>VLOOKUP($C21,'План учебного процесса'!$B$24:$AG$72,3,FALSE)</f>
        <v>0</v>
      </c>
      <c r="E21" s="275">
        <f>VLOOKUP($C21,'План учебного процесса'!$B$24:$AG$72,4,FALSE)</f>
        <v>0</v>
      </c>
      <c r="F21" s="275">
        <f>VLOOKUP($C21,'План учебного процесса'!$B$24:$AG$72,5,FALSE)</f>
        <v>4</v>
      </c>
      <c r="G21" s="275">
        <f t="shared" si="3"/>
        <v>112</v>
      </c>
      <c r="H21" s="275">
        <f>VLOOKUP($C21,'План учебного процесса'!$B$24:$AG$72,8,FALSE)</f>
        <v>48</v>
      </c>
      <c r="I21" s="275">
        <f>VLOOKUP($C21,'План учебного процесса'!$B$24:$AG$72,9,FALSE)</f>
        <v>56</v>
      </c>
      <c r="J21" s="275"/>
      <c r="K21" s="275">
        <f>VLOOKUP($C21,'План учебного процесса'!$B$24:$AG$72,10,FALSE)</f>
        <v>0</v>
      </c>
      <c r="L21" s="275">
        <f>VLOOKUP($C21,'План учебного процесса'!$B$24:$AG$72,26,FALSE)+VLOOKUP($C21,'План учебного процесса'!$B$24:$AG$72,31,FALSE)</f>
        <v>4</v>
      </c>
      <c r="M21" s="275">
        <f>VLOOKUP($C21,'План учебного процесса'!$B$24:$AG$72,27,FALSE)+VLOOKUP($C21,'План учебного процесса'!$B$24:$AG$72,32,FALSE)</f>
        <v>4</v>
      </c>
      <c r="N21" s="275">
        <f t="shared" si="0"/>
        <v>108</v>
      </c>
      <c r="O21" s="275">
        <f>VLOOKUP($C21,'План учебного процесса'!$B$24:$AG$72,23,FALSE)</f>
        <v>56</v>
      </c>
      <c r="P21" s="275">
        <f>VLOOKUP($C21,'План учебного процесса'!$B$24:$AG$72,24,FALSE)</f>
        <v>28</v>
      </c>
      <c r="Q21" s="276">
        <f t="shared" si="1"/>
        <v>3.2941176470588234</v>
      </c>
      <c r="R21" s="275">
        <f>VLOOKUP($C21,'План учебного процесса'!$B$24:$AG$72,28,FALSE)</f>
        <v>56</v>
      </c>
      <c r="S21" s="275">
        <f>VLOOKUP($C21,'План учебного процесса'!$B$24:$AG$72,29,FALSE)</f>
        <v>28</v>
      </c>
      <c r="T21" s="276">
        <f t="shared" si="2"/>
        <v>2.2857142857142856</v>
      </c>
      <c r="U21" s="274" t="s">
        <v>408</v>
      </c>
    </row>
    <row r="22" spans="1:21" ht="25.5" customHeight="1" x14ac:dyDescent="0.2">
      <c r="A22" s="275">
        <v>10</v>
      </c>
      <c r="B22" s="275" t="str">
        <f>'План учебного процесса'!A35</f>
        <v>ОП.02</v>
      </c>
      <c r="C22" s="274" t="str">
        <f>VLOOKUP(B22,'План учебного процесса'!$A$24:$B$72,2,FALSE)</f>
        <v>Экологические основы природопользования</v>
      </c>
      <c r="D22" s="275">
        <f>VLOOKUP($C22,'План учебного процесса'!$B$24:$AG$72,3,FALSE)</f>
        <v>0</v>
      </c>
      <c r="E22" s="275">
        <f>VLOOKUP($C22,'План учебного процесса'!$B$24:$AG$72,4,FALSE)</f>
        <v>4</v>
      </c>
      <c r="F22" s="275">
        <f>VLOOKUP($C22,'План учебного процесса'!$B$24:$AG$72,5,FALSE)</f>
        <v>0</v>
      </c>
      <c r="G22" s="275">
        <f t="shared" si="3"/>
        <v>36</v>
      </c>
      <c r="H22" s="275">
        <f>VLOOKUP($C22,'План учебного процесса'!$B$24:$AG$72,8,FALSE)</f>
        <v>10</v>
      </c>
      <c r="I22" s="275">
        <f>VLOOKUP($C22,'План учебного процесса'!$B$24:$AG$72,9,FALSE)</f>
        <v>22</v>
      </c>
      <c r="J22" s="275"/>
      <c r="K22" s="275">
        <f>VLOOKUP($C22,'План учебного процесса'!$B$24:$AG$72,10,FALSE)</f>
        <v>0</v>
      </c>
      <c r="L22" s="275">
        <f>VLOOKUP($C22,'План учебного процесса'!$B$24:$AG$72,26,FALSE)+VLOOKUP($C22,'План учебного процесса'!$B$24:$AG$72,31,FALSE)</f>
        <v>2</v>
      </c>
      <c r="M22" s="275">
        <f>VLOOKUP($C22,'План учебного процесса'!$B$24:$AG$72,27,FALSE)+VLOOKUP($C22,'План учебного процесса'!$B$24:$AG$72,32,FALSE)</f>
        <v>2</v>
      </c>
      <c r="N22" s="275">
        <f t="shared" si="0"/>
        <v>34</v>
      </c>
      <c r="O22" s="275">
        <f>VLOOKUP($C22,'План учебного процесса'!$B$24:$AG$72,23,FALSE)</f>
        <v>0</v>
      </c>
      <c r="P22" s="275">
        <f>VLOOKUP($C22,'План учебного процесса'!$B$24:$AG$72,24,FALSE)</f>
        <v>0</v>
      </c>
      <c r="Q22" s="276">
        <f t="shared" si="1"/>
        <v>0</v>
      </c>
      <c r="R22" s="275">
        <f>VLOOKUP($C22,'План учебного процесса'!$B$24:$AG$72,28,FALSE)</f>
        <v>36</v>
      </c>
      <c r="S22" s="275">
        <f>VLOOKUP($C22,'План учебного процесса'!$B$24:$AG$72,29,FALSE)</f>
        <v>22</v>
      </c>
      <c r="T22" s="276">
        <f t="shared" si="2"/>
        <v>1.4693877551020409</v>
      </c>
      <c r="U22" s="274" t="s">
        <v>296</v>
      </c>
    </row>
    <row r="23" spans="1:21" x14ac:dyDescent="0.2">
      <c r="A23" s="275">
        <v>11</v>
      </c>
      <c r="B23" s="275" t="str">
        <f>'План учебного процесса'!A36</f>
        <v>ОП.03</v>
      </c>
      <c r="C23" s="274" t="str">
        <f>VLOOKUP(B23,'План учебного процесса'!$A$24:$B$72,2,FALSE)</f>
        <v>Инженерная графика</v>
      </c>
      <c r="D23" s="275">
        <f>VLOOKUP($C23,'План учебного процесса'!$B$24:$AG$72,3,FALSE)</f>
        <v>0</v>
      </c>
      <c r="E23" s="275">
        <f>VLOOKUP($C23,'План учебного процесса'!$B$24:$AG$72,4,FALSE)</f>
        <v>0</v>
      </c>
      <c r="F23" s="275">
        <f>VLOOKUP($C23,'План учебного процесса'!$B$24:$AG$72,5,FALSE)</f>
        <v>3</v>
      </c>
      <c r="G23" s="275">
        <f t="shared" si="3"/>
        <v>100</v>
      </c>
      <c r="H23" s="275">
        <f>VLOOKUP($C23,'План учебного процесса'!$B$24:$AG$72,8,FALSE)</f>
        <v>46</v>
      </c>
      <c r="I23" s="275">
        <f>VLOOKUP($C23,'План учебного процесса'!$B$24:$AG$72,9,FALSE)</f>
        <v>48</v>
      </c>
      <c r="J23" s="275"/>
      <c r="K23" s="275">
        <f>VLOOKUP($C23,'План учебного процесса'!$B$24:$AG$72,10,FALSE)</f>
        <v>0</v>
      </c>
      <c r="L23" s="275">
        <f>VLOOKUP($C23,'План учебного процесса'!$B$24:$AG$72,26,FALSE)+VLOOKUP($C23,'План учебного процесса'!$B$24:$AG$72,31,FALSE)</f>
        <v>2</v>
      </c>
      <c r="M23" s="275">
        <f>VLOOKUP($C23,'План учебного процесса'!$B$24:$AG$72,27,FALSE)+VLOOKUP($C23,'План учебного процесса'!$B$24:$AG$72,32,FALSE)</f>
        <v>4</v>
      </c>
      <c r="N23" s="275">
        <f t="shared" si="0"/>
        <v>98</v>
      </c>
      <c r="O23" s="275">
        <f>VLOOKUP($C23,'План учебного процесса'!$B$24:$AG$72,23,FALSE)</f>
        <v>100</v>
      </c>
      <c r="P23" s="275">
        <f>VLOOKUP($C23,'План учебного процесса'!$B$24:$AG$72,24,FALSE)</f>
        <v>48</v>
      </c>
      <c r="Q23" s="276">
        <f t="shared" si="1"/>
        <v>5.882352941176471</v>
      </c>
      <c r="R23" s="275">
        <f>VLOOKUP($C23,'План учебного процесса'!$B$24:$AG$72,28,FALSE)</f>
        <v>0</v>
      </c>
      <c r="S23" s="275">
        <f>VLOOKUP($C23,'План учебного процесса'!$B$24:$AG$72,29,FALSE)</f>
        <v>0</v>
      </c>
      <c r="T23" s="276">
        <f t="shared" si="2"/>
        <v>0</v>
      </c>
      <c r="U23" s="274" t="s">
        <v>289</v>
      </c>
    </row>
    <row r="24" spans="1:21" x14ac:dyDescent="0.2">
      <c r="A24" s="275">
        <v>12</v>
      </c>
      <c r="B24" s="275" t="str">
        <f>'План учебного процесса'!A37</f>
        <v>ОП.04</v>
      </c>
      <c r="C24" s="274" t="str">
        <f>VLOOKUP(B24,'План учебного процесса'!$A$24:$B$72,2,FALSE)</f>
        <v>Техническая механика</v>
      </c>
      <c r="D24" s="275">
        <f>VLOOKUP($C24,'План учебного процесса'!$B$24:$AG$72,3,FALSE)</f>
        <v>0</v>
      </c>
      <c r="E24" s="275">
        <f>VLOOKUP($C24,'План учебного процесса'!$B$24:$AG$72,4,FALSE)</f>
        <v>0</v>
      </c>
      <c r="F24" s="275">
        <f>VLOOKUP($C24,'План учебного процесса'!$B$24:$AG$72,5,FALSE)</f>
        <v>4</v>
      </c>
      <c r="G24" s="275">
        <f t="shared" si="3"/>
        <v>120</v>
      </c>
      <c r="H24" s="275">
        <f>VLOOKUP($C24,'План учебного процесса'!$B$24:$AG$72,8,FALSE)</f>
        <v>44</v>
      </c>
      <c r="I24" s="275">
        <f>VLOOKUP($C24,'План учебного процесса'!$B$24:$AG$72,9,FALSE)</f>
        <v>68</v>
      </c>
      <c r="J24" s="275"/>
      <c r="K24" s="275">
        <f>VLOOKUP($C24,'План учебного процесса'!$B$24:$AG$72,10,FALSE)</f>
        <v>0</v>
      </c>
      <c r="L24" s="275">
        <f>VLOOKUP($C24,'План учебного процесса'!$B$24:$AG$72,26,FALSE)+VLOOKUP($C24,'План учебного процесса'!$B$24:$AG$72,31,FALSE)</f>
        <v>4</v>
      </c>
      <c r="M24" s="275">
        <f>VLOOKUP($C24,'План учебного процесса'!$B$24:$AG$72,27,FALSE)+VLOOKUP($C24,'План учебного процесса'!$B$24:$AG$72,32,FALSE)</f>
        <v>4</v>
      </c>
      <c r="N24" s="275">
        <f t="shared" si="0"/>
        <v>116</v>
      </c>
      <c r="O24" s="275">
        <f>VLOOKUP($C24,'План учебного процесса'!$B$24:$AG$72,23,FALSE)</f>
        <v>60</v>
      </c>
      <c r="P24" s="275">
        <f>VLOOKUP($C24,'План учебного процесса'!$B$24:$AG$72,24,FALSE)</f>
        <v>34</v>
      </c>
      <c r="Q24" s="276">
        <f t="shared" si="1"/>
        <v>3.5294117647058822</v>
      </c>
      <c r="R24" s="275">
        <f>VLOOKUP($C24,'План учебного процесса'!$B$24:$AG$72,28,FALSE)</f>
        <v>60</v>
      </c>
      <c r="S24" s="275">
        <f>VLOOKUP($C24,'План учебного процесса'!$B$24:$AG$72,29,FALSE)</f>
        <v>34</v>
      </c>
      <c r="T24" s="276">
        <f t="shared" si="2"/>
        <v>2.4489795918367347</v>
      </c>
      <c r="U24" s="274" t="s">
        <v>291</v>
      </c>
    </row>
    <row r="25" spans="1:21" x14ac:dyDescent="0.2">
      <c r="A25" s="275">
        <v>13</v>
      </c>
      <c r="B25" s="275" t="str">
        <f>'План учебного процесса'!A38</f>
        <v>ОП.05</v>
      </c>
      <c r="C25" s="274" t="str">
        <f>VLOOKUP(B25,'План учебного процесса'!$A$24:$B$72,2,FALSE)</f>
        <v>Материаловедение</v>
      </c>
      <c r="D25" s="275">
        <f>VLOOKUP($C25,'План учебного процесса'!$B$24:$AG$72,3,FALSE)</f>
        <v>0</v>
      </c>
      <c r="E25" s="275">
        <f>VLOOKUP($C25,'План учебного процесса'!$B$24:$AG$72,4,FALSE)</f>
        <v>0</v>
      </c>
      <c r="F25" s="275">
        <f>VLOOKUP($C25,'План учебного процесса'!$B$24:$AG$72,5,FALSE)</f>
        <v>3</v>
      </c>
      <c r="G25" s="275">
        <f t="shared" si="3"/>
        <v>100</v>
      </c>
      <c r="H25" s="275">
        <f>VLOOKUP($C25,'План учебного процесса'!$B$24:$AG$72,8,FALSE)</f>
        <v>60</v>
      </c>
      <c r="I25" s="275">
        <f>VLOOKUP($C25,'План учебного процесса'!$B$24:$AG$72,9,FALSE)</f>
        <v>34</v>
      </c>
      <c r="J25" s="275"/>
      <c r="K25" s="275">
        <f>VLOOKUP($C25,'План учебного процесса'!$B$24:$AG$72,10,FALSE)</f>
        <v>0</v>
      </c>
      <c r="L25" s="275">
        <f>VLOOKUP($C25,'План учебного процесса'!$B$24:$AG$72,26,FALSE)+VLOOKUP($C25,'План учебного процесса'!$B$24:$AG$72,31,FALSE)</f>
        <v>2</v>
      </c>
      <c r="M25" s="275">
        <f>VLOOKUP($C25,'План учебного процесса'!$B$24:$AG$72,27,FALSE)+VLOOKUP($C25,'План учебного процесса'!$B$24:$AG$72,32,FALSE)</f>
        <v>4</v>
      </c>
      <c r="N25" s="275">
        <f t="shared" si="0"/>
        <v>98</v>
      </c>
      <c r="O25" s="275">
        <f>VLOOKUP($C25,'План учебного процесса'!$B$24:$AG$72,23,FALSE)</f>
        <v>100</v>
      </c>
      <c r="P25" s="275">
        <f>VLOOKUP($C25,'План учебного процесса'!$B$24:$AG$72,24,FALSE)</f>
        <v>34</v>
      </c>
      <c r="Q25" s="276">
        <f t="shared" si="1"/>
        <v>5.882352941176471</v>
      </c>
      <c r="R25" s="275">
        <f>VLOOKUP($C25,'План учебного процесса'!$B$24:$AG$72,28,FALSE)</f>
        <v>0</v>
      </c>
      <c r="S25" s="275">
        <f>VLOOKUP($C25,'План учебного процесса'!$B$24:$AG$72,29,FALSE)</f>
        <v>0</v>
      </c>
      <c r="T25" s="276">
        <f t="shared" si="2"/>
        <v>0</v>
      </c>
      <c r="U25" s="274" t="s">
        <v>293</v>
      </c>
    </row>
    <row r="26" spans="1:21" x14ac:dyDescent="0.2">
      <c r="A26" s="275">
        <v>14</v>
      </c>
      <c r="B26" s="275" t="str">
        <f>'План учебного процесса'!A39</f>
        <v>ОП.06</v>
      </c>
      <c r="C26" s="274" t="str">
        <f>VLOOKUP(B26,'План учебного процесса'!$A$24:$B$72,2,FALSE)</f>
        <v>Электротехника и электроника</v>
      </c>
      <c r="D26" s="275">
        <f>VLOOKUP($C26,'План учебного процесса'!$B$24:$AG$72,3,FALSE)</f>
        <v>0</v>
      </c>
      <c r="E26" s="275">
        <f>VLOOKUP($C26,'План учебного процесса'!$B$24:$AG$72,4,FALSE)</f>
        <v>0</v>
      </c>
      <c r="F26" s="275">
        <f>VLOOKUP($C26,'План учебного процесса'!$B$24:$AG$72,5,FALSE)</f>
        <v>4</v>
      </c>
      <c r="G26" s="275">
        <f t="shared" si="3"/>
        <v>100</v>
      </c>
      <c r="H26" s="275">
        <f>VLOOKUP($C26,'План учебного процесса'!$B$24:$AG$72,8,FALSE)</f>
        <v>52</v>
      </c>
      <c r="I26" s="275">
        <f>VLOOKUP($C26,'План учебного процесса'!$B$24:$AG$72,9,FALSE)</f>
        <v>40</v>
      </c>
      <c r="J26" s="275"/>
      <c r="K26" s="275">
        <f>VLOOKUP($C26,'План учебного процесса'!$B$24:$AG$72,10,FALSE)</f>
        <v>0</v>
      </c>
      <c r="L26" s="275">
        <f>VLOOKUP($C26,'План учебного процесса'!$B$24:$AG$72,26,FALSE)+VLOOKUP($C26,'План учебного процесса'!$B$24:$AG$72,31,FALSE)</f>
        <v>4</v>
      </c>
      <c r="M26" s="275">
        <f>VLOOKUP($C26,'План учебного процесса'!$B$24:$AG$72,27,FALSE)+VLOOKUP($C26,'План учебного процесса'!$B$24:$AG$72,32,FALSE)</f>
        <v>4</v>
      </c>
      <c r="N26" s="275">
        <f t="shared" si="0"/>
        <v>96</v>
      </c>
      <c r="O26" s="275">
        <f>VLOOKUP($C26,'План учебного процесса'!$B$24:$AG$72,23,FALSE)</f>
        <v>50</v>
      </c>
      <c r="P26" s="275">
        <f>VLOOKUP($C26,'План учебного процесса'!$B$24:$AG$72,24,FALSE)</f>
        <v>14</v>
      </c>
      <c r="Q26" s="276">
        <f t="shared" si="1"/>
        <v>2.9411764705882355</v>
      </c>
      <c r="R26" s="275">
        <f>VLOOKUP($C26,'План учебного процесса'!$B$24:$AG$72,28,FALSE)</f>
        <v>50</v>
      </c>
      <c r="S26" s="275">
        <f>VLOOKUP($C26,'План учебного процесса'!$B$24:$AG$72,29,FALSE)</f>
        <v>26</v>
      </c>
      <c r="T26" s="276">
        <f t="shared" si="2"/>
        <v>2.0408163265306123</v>
      </c>
      <c r="U26" s="274" t="s">
        <v>303</v>
      </c>
    </row>
    <row r="27" spans="1:21" x14ac:dyDescent="0.2">
      <c r="A27" s="275">
        <v>15</v>
      </c>
      <c r="B27" s="275" t="str">
        <f>'План учебного процесса'!A40</f>
        <v>ОП.07</v>
      </c>
      <c r="C27" s="274" t="str">
        <f>VLOOKUP(B27,'План учебного процесса'!$A$24:$B$72,2,FALSE)</f>
        <v>Основы гидравлики и теплотехники</v>
      </c>
      <c r="D27" s="275">
        <f>VLOOKUP($C27,'План учебного процесса'!$B$24:$AG$72,3,FALSE)</f>
        <v>0</v>
      </c>
      <c r="E27" s="275">
        <f>VLOOKUP($C27,'План учебного процесса'!$B$24:$AG$72,4,FALSE)</f>
        <v>4</v>
      </c>
      <c r="F27" s="275">
        <f>VLOOKUP($C27,'План учебного процесса'!$B$24:$AG$72,5,FALSE)</f>
        <v>0</v>
      </c>
      <c r="G27" s="275">
        <f t="shared" si="3"/>
        <v>36</v>
      </c>
      <c r="H27" s="275">
        <f>VLOOKUP($C27,'План учебного процесса'!$B$24:$AG$72,8,FALSE)</f>
        <v>12</v>
      </c>
      <c r="I27" s="275">
        <f>VLOOKUP($C27,'План учебного процесса'!$B$24:$AG$72,9,FALSE)</f>
        <v>20</v>
      </c>
      <c r="J27" s="275"/>
      <c r="K27" s="275">
        <f>VLOOKUP($C27,'План учебного процесса'!$B$24:$AG$72,10,FALSE)</f>
        <v>0</v>
      </c>
      <c r="L27" s="275">
        <f>VLOOKUP($C27,'План учебного процесса'!$B$24:$AG$72,26,FALSE)+VLOOKUP($C27,'План учебного процесса'!$B$24:$AG$72,31,FALSE)</f>
        <v>2</v>
      </c>
      <c r="M27" s="275">
        <f>VLOOKUP($C27,'План учебного процесса'!$B$24:$AG$72,27,FALSE)+VLOOKUP($C27,'План учебного процесса'!$B$24:$AG$72,32,FALSE)</f>
        <v>2</v>
      </c>
      <c r="N27" s="275">
        <f t="shared" si="0"/>
        <v>34</v>
      </c>
      <c r="O27" s="275">
        <f>VLOOKUP($C27,'План учебного процесса'!$B$24:$AG$72,23,FALSE)</f>
        <v>0</v>
      </c>
      <c r="P27" s="275">
        <f>VLOOKUP($C27,'План учебного процесса'!$B$24:$AG$72,24,FALSE)</f>
        <v>0</v>
      </c>
      <c r="Q27" s="276">
        <f t="shared" si="1"/>
        <v>0</v>
      </c>
      <c r="R27" s="275">
        <f>VLOOKUP($C27,'План учебного процесса'!$B$24:$AG$72,28,FALSE)</f>
        <v>36</v>
      </c>
      <c r="S27" s="275">
        <f>VLOOKUP($C27,'План учебного процесса'!$B$24:$AG$72,29,FALSE)</f>
        <v>20</v>
      </c>
      <c r="T27" s="276">
        <f t="shared" si="2"/>
        <v>1.4693877551020409</v>
      </c>
      <c r="U27" s="274"/>
    </row>
    <row r="28" spans="1:21" x14ac:dyDescent="0.2">
      <c r="A28" s="275">
        <v>16</v>
      </c>
      <c r="B28" s="275" t="str">
        <f>'План учебного процесса'!A41</f>
        <v>ОП.08</v>
      </c>
      <c r="C28" s="274" t="str">
        <f>VLOOKUP(B28,'План учебного процесса'!$A$24:$B$72,2,FALSE)</f>
        <v>Основы агрономии и зоотехнии</v>
      </c>
      <c r="D28" s="275">
        <f>VLOOKUP($C28,'План учебного процесса'!$B$24:$AG$72,3,FALSE)</f>
        <v>0</v>
      </c>
      <c r="E28" s="275">
        <f>VLOOKUP($C28,'План учебного процесса'!$B$24:$AG$72,4,FALSE)</f>
        <v>3</v>
      </c>
      <c r="F28" s="275">
        <f>VLOOKUP($C28,'План учебного процесса'!$B$24:$AG$72,5,FALSE)</f>
        <v>0</v>
      </c>
      <c r="G28" s="275">
        <f t="shared" si="3"/>
        <v>72</v>
      </c>
      <c r="H28" s="275">
        <f>VLOOKUP($C28,'План учебного процесса'!$B$24:$AG$72,8,FALSE)</f>
        <v>50</v>
      </c>
      <c r="I28" s="275">
        <f>VLOOKUP($C28,'План учебного процесса'!$B$24:$AG$72,9,FALSE)</f>
        <v>16</v>
      </c>
      <c r="J28" s="275"/>
      <c r="K28" s="275">
        <f>VLOOKUP($C28,'План учебного процесса'!$B$24:$AG$72,10,FALSE)</f>
        <v>0</v>
      </c>
      <c r="L28" s="275">
        <f>VLOOKUP($C28,'План учебного процесса'!$B$24:$AG$72,26,FALSE)+VLOOKUP($C28,'План учебного процесса'!$B$24:$AG$72,31,FALSE)</f>
        <v>4</v>
      </c>
      <c r="M28" s="275">
        <f>VLOOKUP($C28,'План учебного процесса'!$B$24:$AG$72,27,FALSE)+VLOOKUP($C28,'План учебного процесса'!$B$24:$AG$72,32,FALSE)</f>
        <v>2</v>
      </c>
      <c r="N28" s="275">
        <f t="shared" si="0"/>
        <v>68</v>
      </c>
      <c r="O28" s="275">
        <f>VLOOKUP($C28,'План учебного процесса'!$B$24:$AG$72,23,FALSE)</f>
        <v>36</v>
      </c>
      <c r="P28" s="275">
        <f>VLOOKUP($C28,'План учебного процесса'!$B$24:$AG$72,24,FALSE)</f>
        <v>10</v>
      </c>
      <c r="Q28" s="276">
        <f t="shared" si="1"/>
        <v>2.1176470588235294</v>
      </c>
      <c r="R28" s="275">
        <f>VLOOKUP($C28,'План учебного процесса'!$B$24:$AG$72,28,FALSE)</f>
        <v>36</v>
      </c>
      <c r="S28" s="275">
        <f>VLOOKUP($C28,'План учебного процесса'!$B$24:$AG$72,29,FALSE)</f>
        <v>6</v>
      </c>
      <c r="T28" s="276">
        <f t="shared" si="2"/>
        <v>1.4693877551020409</v>
      </c>
      <c r="U28" s="274" t="s">
        <v>296</v>
      </c>
    </row>
    <row r="29" spans="1:21" ht="24" x14ac:dyDescent="0.2">
      <c r="A29" s="275">
        <v>18</v>
      </c>
      <c r="B29" s="275" t="str">
        <f>'План учебного процесса'!A44</f>
        <v>ОП.11</v>
      </c>
      <c r="C29" s="274" t="str">
        <f>VLOOKUP(B29,'План учебного процесса'!$A$24:$B$72,2,FALSE)</f>
        <v>Основы взаимозаменяемости и технические измерения</v>
      </c>
      <c r="D29" s="275">
        <f>VLOOKUP($C29,'План учебного процесса'!$B$24:$AG$72,3,FALSE)</f>
        <v>0</v>
      </c>
      <c r="E29" s="275">
        <f>VLOOKUP($C29,'План учебного процесса'!$B$24:$AG$72,4,FALSE)</f>
        <v>0</v>
      </c>
      <c r="F29" s="275">
        <f>VLOOKUP($C29,'План учебного процесса'!$B$24:$AG$72,5,FALSE)</f>
        <v>4</v>
      </c>
      <c r="G29" s="275">
        <f t="shared" si="3"/>
        <v>72</v>
      </c>
      <c r="H29" s="275">
        <f>VLOOKUP($C29,'План учебного процесса'!$B$24:$AG$72,8,FALSE)</f>
        <v>36</v>
      </c>
      <c r="I29" s="275">
        <f>VLOOKUP($C29,'План учебного процесса'!$B$24:$AG$72,9,FALSE)</f>
        <v>30</v>
      </c>
      <c r="J29" s="275"/>
      <c r="K29" s="275">
        <f>VLOOKUP($C29,'План учебного процесса'!$B$24:$AG$72,10,FALSE)</f>
        <v>0</v>
      </c>
      <c r="L29" s="275">
        <f>VLOOKUP($C29,'План учебного процесса'!$B$24:$AG$72,26,FALSE)+VLOOKUP($C29,'План учебного процесса'!$B$24:$AG$72,31,FALSE)</f>
        <v>2</v>
      </c>
      <c r="M29" s="275">
        <f>VLOOKUP($C29,'План учебного процесса'!$B$24:$AG$72,27,FALSE)+VLOOKUP($C29,'План учебного процесса'!$B$24:$AG$72,32,FALSE)</f>
        <v>4</v>
      </c>
      <c r="N29" s="275">
        <f t="shared" si="0"/>
        <v>70</v>
      </c>
      <c r="O29" s="275">
        <f>VLOOKUP($C29,'План учебного процесса'!$B$24:$AG$72,23,FALSE)</f>
        <v>0</v>
      </c>
      <c r="P29" s="275">
        <f>VLOOKUP($C29,'План учебного процесса'!$B$24:$AG$72,24,FALSE)</f>
        <v>0</v>
      </c>
      <c r="Q29" s="276">
        <f t="shared" si="1"/>
        <v>0</v>
      </c>
      <c r="R29" s="275">
        <f>VLOOKUP($C29,'План учебного процесса'!$B$24:$AG$72,28,FALSE)</f>
        <v>72</v>
      </c>
      <c r="S29" s="275">
        <f>VLOOKUP($C29,'План учебного процесса'!$B$24:$AG$72,29,FALSE)</f>
        <v>30</v>
      </c>
      <c r="T29" s="276">
        <f t="shared" si="2"/>
        <v>2.9387755102040818</v>
      </c>
      <c r="U29" s="274" t="s">
        <v>293</v>
      </c>
    </row>
    <row r="30" spans="1:21" x14ac:dyDescent="0.2">
      <c r="A30" s="275">
        <v>19</v>
      </c>
      <c r="B30" s="275" t="str">
        <f>'План учебного процесса'!A47</f>
        <v>ОП.14</v>
      </c>
      <c r="C30" s="274" t="str">
        <f>VLOOKUP(B30,'План учебного процесса'!$A$24:$B$72,2,FALSE)</f>
        <v>Основы философии</v>
      </c>
      <c r="D30" s="275">
        <f>VLOOKUP($C30,'План учебного процесса'!$B$24:$AG$72,3,FALSE)</f>
        <v>0</v>
      </c>
      <c r="E30" s="275">
        <f>VLOOKUP($C30,'План учебного процесса'!$B$24:$AG$72,4,FALSE)</f>
        <v>4</v>
      </c>
      <c r="F30" s="275">
        <f>VLOOKUP($C30,'План учебного процесса'!$B$24:$AG$72,5,FALSE)</f>
        <v>0</v>
      </c>
      <c r="G30" s="275">
        <f t="shared" si="3"/>
        <v>48</v>
      </c>
      <c r="H30" s="275">
        <f>VLOOKUP($C30,'План учебного процесса'!$B$24:$AG$72,8,FALSE)</f>
        <v>44</v>
      </c>
      <c r="I30" s="275">
        <f>VLOOKUP($C30,'План учебного процесса'!$B$24:$AG$72,9,FALSE)</f>
        <v>0</v>
      </c>
      <c r="J30" s="275"/>
      <c r="K30" s="275">
        <f>VLOOKUP($C30,'План учебного процесса'!$B$24:$AG$72,10,FALSE)</f>
        <v>0</v>
      </c>
      <c r="L30" s="275">
        <f>VLOOKUP($C30,'План учебного процесса'!$B$24:$AG$72,26,FALSE)+VLOOKUP($C30,'План учебного процесса'!$B$24:$AG$72,31,FALSE)</f>
        <v>2</v>
      </c>
      <c r="M30" s="275">
        <f>VLOOKUP($C30,'План учебного процесса'!$B$24:$AG$72,27,FALSE)+VLOOKUP($C30,'План учебного процесса'!$B$24:$AG$72,32,FALSE)</f>
        <v>2</v>
      </c>
      <c r="N30" s="275">
        <f t="shared" si="0"/>
        <v>46</v>
      </c>
      <c r="O30" s="275">
        <f>VLOOKUP($C30,'План учебного процесса'!$B$24:$AG$72,23,FALSE)</f>
        <v>0</v>
      </c>
      <c r="P30" s="275">
        <f>VLOOKUP($C30,'План учебного процесса'!$B$24:$AG$72,24,FALSE)</f>
        <v>0</v>
      </c>
      <c r="Q30" s="276">
        <f t="shared" si="1"/>
        <v>0</v>
      </c>
      <c r="R30" s="275">
        <f>VLOOKUP($C30,'План учебного процесса'!$B$24:$AG$72,28,FALSE)</f>
        <v>48</v>
      </c>
      <c r="S30" s="275">
        <f>VLOOKUP($C30,'План учебного процесса'!$B$24:$AG$72,29,FALSE)</f>
        <v>0</v>
      </c>
      <c r="T30" s="276">
        <f t="shared" si="2"/>
        <v>1.9591836734693877</v>
      </c>
      <c r="U30" s="274" t="s">
        <v>294</v>
      </c>
    </row>
    <row r="31" spans="1:21" ht="48" x14ac:dyDescent="0.2">
      <c r="A31" s="275">
        <v>20</v>
      </c>
      <c r="B31" s="275" t="str">
        <f>'План учебного процесса'!A51</f>
        <v>МДК.01.01</v>
      </c>
      <c r="C31" s="274" t="str">
        <f>VLOOKUP(B31,'План учебного процесса'!$A$24:$B$72,2,FALSE)</f>
        <v>Назначение, общее устройство, режимы работы тракторов, автомобилей, сельскохозяйственных машин и оборудования</v>
      </c>
      <c r="D31" s="275">
        <f>VLOOKUP($C31,'План учебного процесса'!$B$24:$AG$72,3,FALSE)</f>
        <v>0</v>
      </c>
      <c r="E31" s="275">
        <f>VLOOKUP($C31,'План учебного процесса'!$B$24:$AG$72,4,FALSE)</f>
        <v>0</v>
      </c>
      <c r="F31" s="275">
        <f>VLOOKUP($C31,'План учебного процесса'!$B$24:$AG$72,5,FALSE)</f>
        <v>4</v>
      </c>
      <c r="G31" s="275">
        <f t="shared" si="3"/>
        <v>248</v>
      </c>
      <c r="H31" s="275">
        <f>VLOOKUP($C31,'План учебного процесса'!$B$24:$AG$72,8,FALSE)</f>
        <v>150</v>
      </c>
      <c r="I31" s="275">
        <f>VLOOKUP($C31,'План учебного процесса'!$B$24:$AG$72,9,FALSE)</f>
        <v>92</v>
      </c>
      <c r="J31" s="275"/>
      <c r="K31" s="275">
        <f>VLOOKUP($C31,'План учебного процесса'!$B$24:$AG$72,10,FALSE)</f>
        <v>0</v>
      </c>
      <c r="L31" s="275">
        <f>VLOOKUP($C31,'План учебного процесса'!$B$24:$AG$72,26,FALSE)+VLOOKUP($C31,'План учебного процесса'!$B$24:$AG$72,31,FALSE)</f>
        <v>2</v>
      </c>
      <c r="M31" s="275">
        <f>VLOOKUP($C31,'План учебного процесса'!$B$24:$AG$72,27,FALSE)+VLOOKUP($C31,'План учебного процесса'!$B$24:$AG$72,32,FALSE)</f>
        <v>4</v>
      </c>
      <c r="N31" s="275">
        <f t="shared" si="0"/>
        <v>246</v>
      </c>
      <c r="O31" s="275">
        <f>VLOOKUP($C31,'План учебного процесса'!$B$24:$AG$72,23,FALSE)</f>
        <v>0</v>
      </c>
      <c r="P31" s="275">
        <f>VLOOKUP($C31,'План учебного процесса'!$B$24:$AG$72,24,FALSE)</f>
        <v>0</v>
      </c>
      <c r="Q31" s="276">
        <f t="shared" si="1"/>
        <v>0</v>
      </c>
      <c r="R31" s="275">
        <f>VLOOKUP($C31,'План учебного процесса'!$B$24:$AG$72,28,FALSE)</f>
        <v>248</v>
      </c>
      <c r="S31" s="275">
        <f>VLOOKUP($C31,'План учебного процесса'!$B$24:$AG$72,29,FALSE)</f>
        <v>92</v>
      </c>
      <c r="T31" s="276">
        <f t="shared" si="2"/>
        <v>10.122448979591837</v>
      </c>
      <c r="U31" s="277"/>
    </row>
    <row r="32" spans="1:21" x14ac:dyDescent="0.2">
      <c r="A32" s="277"/>
      <c r="B32" s="277"/>
      <c r="C32" s="278" t="s">
        <v>395</v>
      </c>
      <c r="D32" s="279"/>
      <c r="E32" s="279"/>
      <c r="F32" s="279"/>
      <c r="G32" s="281">
        <f>SUM(G13:G31)</f>
        <v>1494</v>
      </c>
      <c r="H32" s="283"/>
      <c r="I32" s="283"/>
      <c r="J32" s="283"/>
      <c r="K32" s="283"/>
      <c r="L32" s="281"/>
      <c r="M32" s="281"/>
      <c r="N32" s="281">
        <f>SUM(N13:N31)</f>
        <v>1440</v>
      </c>
      <c r="O32" s="281">
        <f>SUM(O13:O31)</f>
        <v>612</v>
      </c>
      <c r="P32" s="281"/>
      <c r="Q32" s="281">
        <f t="shared" ref="Q32:R32" si="4">SUM(Q13:Q31)</f>
        <v>36.000000000000007</v>
      </c>
      <c r="R32" s="281">
        <f t="shared" si="4"/>
        <v>882</v>
      </c>
      <c r="S32" s="281"/>
      <c r="T32" s="281">
        <f>SUM(T13:T31)</f>
        <v>36</v>
      </c>
      <c r="U32" s="274"/>
    </row>
  </sheetData>
  <mergeCells count="21">
    <mergeCell ref="A1:U1"/>
    <mergeCell ref="A9:A12"/>
    <mergeCell ref="C9:C12"/>
    <mergeCell ref="D9:F9"/>
    <mergeCell ref="G9:M9"/>
    <mergeCell ref="N9:N12"/>
    <mergeCell ref="O9:T9"/>
    <mergeCell ref="U9:U12"/>
    <mergeCell ref="D10:D12"/>
    <mergeCell ref="E10:E12"/>
    <mergeCell ref="B9:B12"/>
    <mergeCell ref="O10:Q10"/>
    <mergeCell ref="R10:T10"/>
    <mergeCell ref="H10:M10"/>
    <mergeCell ref="F10:F12"/>
    <mergeCell ref="G10:G12"/>
    <mergeCell ref="H11:H12"/>
    <mergeCell ref="I11:J11"/>
    <mergeCell ref="K11:K12"/>
    <mergeCell ref="L11:L12"/>
    <mergeCell ref="M11:M12"/>
  </mergeCells>
  <conditionalFormatting sqref="D13:M31 O13:T31">
    <cfRule type="cellIs" dxfId="3" priority="1" operator="equal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8"/>
  <sheetViews>
    <sheetView topLeftCell="B4" zoomScale="130" zoomScaleNormal="130" workbookViewId="0">
      <selection activeCell="U15" sqref="U15"/>
    </sheetView>
  </sheetViews>
  <sheetFormatPr defaultColWidth="8.7109375" defaultRowHeight="12.75" x14ac:dyDescent="0.2"/>
  <cols>
    <col min="1" max="1" width="3.140625" customWidth="1"/>
    <col min="2" max="2" width="8.85546875" customWidth="1"/>
    <col min="3" max="3" width="34.7109375" customWidth="1"/>
    <col min="4" max="6" width="6.5703125" customWidth="1"/>
    <col min="8" max="11" width="7" customWidth="1"/>
    <col min="12" max="12" width="6.7109375" customWidth="1"/>
    <col min="15" max="15" width="7.85546875" customWidth="1"/>
    <col min="16" max="17" width="8.85546875" bestFit="1" customWidth="1"/>
    <col min="18" max="18" width="9.42578125" bestFit="1" customWidth="1"/>
    <col min="19" max="20" width="8.85546875" bestFit="1" customWidth="1"/>
    <col min="21" max="21" width="25.28515625" customWidth="1"/>
  </cols>
  <sheetData>
    <row r="1" spans="1:21" ht="27" customHeight="1" x14ac:dyDescent="0.2">
      <c r="A1" s="364" t="s">
        <v>404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</row>
    <row r="2" spans="1:21" ht="13.5" x14ac:dyDescent="0.25">
      <c r="A2" s="28"/>
      <c r="B2" s="28"/>
      <c r="C2" s="28" t="s">
        <v>354</v>
      </c>
      <c r="D2" s="271" t="s">
        <v>403</v>
      </c>
      <c r="E2" s="28"/>
      <c r="F2" s="28"/>
      <c r="K2" s="28"/>
      <c r="L2" s="28"/>
      <c r="M2" s="28"/>
      <c r="N2" s="28"/>
      <c r="O2" s="28"/>
      <c r="P2" s="28"/>
      <c r="Q2" s="28"/>
      <c r="R2" s="28" t="s">
        <v>405</v>
      </c>
      <c r="S2" s="282"/>
      <c r="T2" s="28"/>
      <c r="U2" s="28"/>
    </row>
    <row r="3" spans="1:21" ht="13.5" x14ac:dyDescent="0.25">
      <c r="A3" s="28"/>
      <c r="B3" s="28"/>
      <c r="C3" s="28" t="s">
        <v>355</v>
      </c>
      <c r="D3" s="271" t="s">
        <v>400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3.5" x14ac:dyDescent="0.25">
      <c r="A4" s="28"/>
      <c r="B4" s="28"/>
      <c r="C4" s="28" t="s">
        <v>179</v>
      </c>
      <c r="D4" s="272">
        <v>3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 ht="13.5" x14ac:dyDescent="0.25">
      <c r="A5" s="28"/>
      <c r="B5" s="28"/>
      <c r="C5" s="28" t="s">
        <v>180</v>
      </c>
      <c r="D5" s="27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3.5" x14ac:dyDescent="0.25">
      <c r="A6" s="28"/>
      <c r="B6" s="28"/>
      <c r="C6" s="28" t="s">
        <v>356</v>
      </c>
      <c r="D6" s="272">
        <v>25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 t="s">
        <v>406</v>
      </c>
      <c r="S6" s="28"/>
      <c r="T6" s="28"/>
      <c r="U6" s="28"/>
    </row>
    <row r="7" spans="1:21" ht="13.5" x14ac:dyDescent="0.25">
      <c r="A7" s="28"/>
      <c r="B7" s="28"/>
      <c r="C7" s="28" t="s">
        <v>357</v>
      </c>
      <c r="D7" s="272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spans="1:21" ht="20.45" customHeight="1" x14ac:dyDescent="0.2">
      <c r="A9" s="363" t="s">
        <v>278</v>
      </c>
      <c r="B9" s="365" t="s">
        <v>13</v>
      </c>
      <c r="C9" s="363" t="s">
        <v>358</v>
      </c>
      <c r="D9" s="363" t="s">
        <v>359</v>
      </c>
      <c r="E9" s="363"/>
      <c r="F9" s="363"/>
      <c r="G9" s="363" t="s">
        <v>360</v>
      </c>
      <c r="H9" s="363"/>
      <c r="I9" s="363"/>
      <c r="J9" s="363"/>
      <c r="K9" s="363"/>
      <c r="L9" s="363"/>
      <c r="M9" s="363"/>
      <c r="N9" s="365" t="s">
        <v>361</v>
      </c>
      <c r="O9" s="363" t="s">
        <v>362</v>
      </c>
      <c r="P9" s="363"/>
      <c r="Q9" s="363"/>
      <c r="R9" s="363"/>
      <c r="S9" s="363"/>
      <c r="T9" s="363"/>
      <c r="U9" s="363" t="s">
        <v>363</v>
      </c>
    </row>
    <row r="10" spans="1:21" ht="17.100000000000001" customHeight="1" x14ac:dyDescent="0.2">
      <c r="A10" s="363"/>
      <c r="B10" s="365"/>
      <c r="C10" s="363"/>
      <c r="D10" s="365" t="s">
        <v>366</v>
      </c>
      <c r="E10" s="365" t="s">
        <v>365</v>
      </c>
      <c r="F10" s="365" t="s">
        <v>364</v>
      </c>
      <c r="G10" s="365" t="s">
        <v>367</v>
      </c>
      <c r="H10" s="357" t="s">
        <v>410</v>
      </c>
      <c r="I10" s="358"/>
      <c r="J10" s="358"/>
      <c r="K10" s="358"/>
      <c r="L10" s="358"/>
      <c r="M10" s="358"/>
      <c r="N10" s="365"/>
      <c r="O10" s="363" t="str">
        <f>'План учебного процесса'!AH5</f>
        <v>5 семестр</v>
      </c>
      <c r="P10" s="363"/>
      <c r="Q10" s="363"/>
      <c r="R10" s="363" t="str">
        <f>'План учебного процесса'!AM5</f>
        <v>6  семестр  (+2п/6н)</v>
      </c>
      <c r="S10" s="363"/>
      <c r="T10" s="363"/>
      <c r="U10" s="363"/>
    </row>
    <row r="11" spans="1:21" ht="18.600000000000001" customHeight="1" x14ac:dyDescent="0.2">
      <c r="A11" s="363"/>
      <c r="B11" s="365"/>
      <c r="C11" s="363"/>
      <c r="D11" s="365"/>
      <c r="E11" s="365"/>
      <c r="F11" s="365"/>
      <c r="G11" s="365"/>
      <c r="H11" s="361" t="s">
        <v>271</v>
      </c>
      <c r="I11" s="359" t="s">
        <v>411</v>
      </c>
      <c r="J11" s="360"/>
      <c r="K11" s="361" t="s">
        <v>369</v>
      </c>
      <c r="L11" s="361" t="s">
        <v>368</v>
      </c>
      <c r="M11" s="361" t="s">
        <v>33</v>
      </c>
      <c r="N11" s="365"/>
      <c r="O11" s="274"/>
      <c r="P11" s="275">
        <f>'План учебного процесса'!AH7</f>
        <v>17</v>
      </c>
      <c r="Q11" s="274" t="s">
        <v>370</v>
      </c>
      <c r="R11" s="274"/>
      <c r="S11" s="275">
        <f>'План учебного процесса'!AM7</f>
        <v>24.5</v>
      </c>
      <c r="T11" s="274" t="s">
        <v>370</v>
      </c>
      <c r="U11" s="363"/>
    </row>
    <row r="12" spans="1:21" ht="53.1" customHeight="1" x14ac:dyDescent="0.2">
      <c r="A12" s="363"/>
      <c r="B12" s="365"/>
      <c r="C12" s="363"/>
      <c r="D12" s="365"/>
      <c r="E12" s="365"/>
      <c r="F12" s="365"/>
      <c r="G12" s="365"/>
      <c r="H12" s="362"/>
      <c r="I12" s="284" t="s">
        <v>198</v>
      </c>
      <c r="J12" s="284" t="s">
        <v>371</v>
      </c>
      <c r="K12" s="362"/>
      <c r="L12" s="362"/>
      <c r="M12" s="362"/>
      <c r="N12" s="365"/>
      <c r="O12" s="273" t="s">
        <v>198</v>
      </c>
      <c r="P12" s="273" t="s">
        <v>372</v>
      </c>
      <c r="Q12" s="273" t="s">
        <v>373</v>
      </c>
      <c r="R12" s="273" t="s">
        <v>198</v>
      </c>
      <c r="S12" s="273" t="s">
        <v>374</v>
      </c>
      <c r="T12" s="273" t="s">
        <v>373</v>
      </c>
      <c r="U12" s="363"/>
    </row>
    <row r="13" spans="1:21" ht="24" x14ac:dyDescent="0.2">
      <c r="A13" s="275">
        <v>1</v>
      </c>
      <c r="B13" s="275" t="str">
        <f>'План учебного процесса'!A25</f>
        <v>СГ.02</v>
      </c>
      <c r="C13" s="274" t="str">
        <f>VLOOKUP(B13,'План учебного процесса'!$A$24:$B$72,2,FALSE)</f>
        <v>Иностранный язык в профессиональной деятельности</v>
      </c>
      <c r="D13" s="275"/>
      <c r="E13" s="275">
        <f>VLOOKUP($C13,'План учебного процесса'!$B$24:$AQ$72,4,FALSE)</f>
        <v>6</v>
      </c>
      <c r="F13" s="275">
        <f>VLOOKUP($C13,'План учебного процесса'!$B$24:$AQ$72,5,FALSE)</f>
        <v>0</v>
      </c>
      <c r="G13" s="275">
        <f>O13+R13</f>
        <v>74</v>
      </c>
      <c r="H13" s="275">
        <f>G13-I13-K13-L13-M13</f>
        <v>0</v>
      </c>
      <c r="I13" s="275">
        <f>P13+S13</f>
        <v>68</v>
      </c>
      <c r="J13" s="275"/>
      <c r="K13" s="275">
        <f>VLOOKUP($C13,'План учебного процесса'!$B$24:$AQ$72,10,FALSE)</f>
        <v>0</v>
      </c>
      <c r="L13" s="275">
        <f>VLOOKUP($C13,'План учебного процесса'!$B$24:$AQ$72,36,FALSE)+VLOOKUP($C13,'План учебного процесса'!$B$24:$AQ$72,41,FALSE)</f>
        <v>4</v>
      </c>
      <c r="M13" s="275">
        <f>VLOOKUP($C13,'План учебного процесса'!$B$24:$AQ$72,37,FALSE)+VLOOKUP($C13,'План учебного процесса'!$B$24:$AQ$72,42,FALSE)</f>
        <v>2</v>
      </c>
      <c r="N13" s="275">
        <f>G13+J13-L13</f>
        <v>70</v>
      </c>
      <c r="O13" s="275">
        <f>VLOOKUP($C13,'План учебного процесса'!$B$24:$AQ$72,33,FALSE)</f>
        <v>36</v>
      </c>
      <c r="P13" s="275">
        <f>VLOOKUP($C13,'План учебного процесса'!$B$24:$AQ$72,34,FALSE)</f>
        <v>34</v>
      </c>
      <c r="Q13" s="276">
        <f>O13/$P$11</f>
        <v>2.1176470588235294</v>
      </c>
      <c r="R13" s="275">
        <f>VLOOKUP($C13,'План учебного процесса'!$B$24:$AQ$72,38,FALSE)</f>
        <v>38</v>
      </c>
      <c r="S13" s="275">
        <f>VLOOKUP($C13,'План учебного процесса'!$B$24:$AQ$72,39,FALSE)</f>
        <v>34</v>
      </c>
      <c r="T13" s="276">
        <f>R13/$S$11</f>
        <v>1.5510204081632653</v>
      </c>
      <c r="U13" s="274" t="s">
        <v>285</v>
      </c>
    </row>
    <row r="14" spans="1:21" x14ac:dyDescent="0.2">
      <c r="A14" s="275">
        <v>2</v>
      </c>
      <c r="B14" s="275" t="str">
        <f>'План учебного процесса'!A26</f>
        <v>СГ.03</v>
      </c>
      <c r="C14" s="274" t="str">
        <f>VLOOKUP(B14,'План учебного процесса'!$A$24:$B$72,2,FALSE)</f>
        <v>Физическая культура</v>
      </c>
      <c r="D14" s="275">
        <v>5</v>
      </c>
      <c r="E14" s="275">
        <f>VLOOKUP($C14,'План учебного процесса'!$B$24:$AQ$72,4,FALSE)</f>
        <v>6</v>
      </c>
      <c r="F14" s="275">
        <f>VLOOKUP($C14,'План учебного процесса'!$B$24:$AQ$72,5,FALSE)</f>
        <v>0</v>
      </c>
      <c r="G14" s="275">
        <f t="shared" ref="G14:G27" si="0">O14+R14</f>
        <v>88</v>
      </c>
      <c r="H14" s="275">
        <f t="shared" ref="H14:H24" si="1">G14-I14-K14-L14-M14</f>
        <v>0</v>
      </c>
      <c r="I14" s="275">
        <f t="shared" ref="I14:I24" si="2">P14+S14</f>
        <v>84</v>
      </c>
      <c r="J14" s="275"/>
      <c r="K14" s="275">
        <f>VLOOKUP($C14,'План учебного процесса'!$B$24:$AQ$72,10,FALSE)</f>
        <v>0</v>
      </c>
      <c r="L14" s="275">
        <f>VLOOKUP($C14,'План учебного процесса'!$B$24:$AQ$72,36,FALSE)+VLOOKUP($C14,'План учебного процесса'!$B$24:$AQ$72,41,FALSE)</f>
        <v>0</v>
      </c>
      <c r="M14" s="275">
        <f>VLOOKUP($C14,'План учебного процесса'!$B$24:$AQ$72,37,FALSE)+VLOOKUP($C14,'План учебного процесса'!$B$24:$AQ$72,42,FALSE)</f>
        <v>4</v>
      </c>
      <c r="N14" s="275">
        <f t="shared" ref="N14:N27" si="3">G14+J14-L14</f>
        <v>88</v>
      </c>
      <c r="O14" s="275">
        <f>VLOOKUP($C14,'План учебного процесса'!$B$24:$AQ$72,33,FALSE)</f>
        <v>44</v>
      </c>
      <c r="P14" s="275">
        <f>VLOOKUP($C14,'План учебного процесса'!$B$24:$AQ$72,34,FALSE)</f>
        <v>42</v>
      </c>
      <c r="Q14" s="276">
        <f t="shared" ref="Q14:Q27" si="4">O14/$P$11</f>
        <v>2.5882352941176472</v>
      </c>
      <c r="R14" s="275">
        <f>VLOOKUP($C14,'План учебного процесса'!$B$24:$AQ$72,38,FALSE)</f>
        <v>44</v>
      </c>
      <c r="S14" s="275">
        <f>VLOOKUP($C14,'План учебного процесса'!$B$24:$AQ$72,39,FALSE)</f>
        <v>42</v>
      </c>
      <c r="T14" s="276">
        <f t="shared" ref="T14:T27" si="5">R14/$S$11</f>
        <v>1.7959183673469388</v>
      </c>
      <c r="U14" s="274" t="s">
        <v>326</v>
      </c>
    </row>
    <row r="15" spans="1:21" x14ac:dyDescent="0.2">
      <c r="A15" s="275"/>
      <c r="B15" s="275" t="str">
        <f>'План учебного процесса'!A31</f>
        <v>СГ.08</v>
      </c>
      <c r="C15" s="274" t="str">
        <f>VLOOKUP(B15,'План учебного процесса'!$A$24:$B$72,2,FALSE)</f>
        <v>Эффективное поведение на рынке труда</v>
      </c>
      <c r="D15" s="275"/>
      <c r="E15" s="275">
        <f>VLOOKUP($C15,'План учебного процесса'!$B$24:$AQ$72,4,FALSE)</f>
        <v>6</v>
      </c>
      <c r="F15" s="275">
        <f>VLOOKUP($C15,'План учебного процесса'!$B$24:$AQ$72,5,FALSE)</f>
        <v>0</v>
      </c>
      <c r="G15" s="275">
        <f t="shared" si="0"/>
        <v>36</v>
      </c>
      <c r="H15" s="275">
        <f t="shared" si="1"/>
        <v>32</v>
      </c>
      <c r="I15" s="275">
        <f t="shared" si="2"/>
        <v>0</v>
      </c>
      <c r="J15" s="275"/>
      <c r="K15" s="275">
        <f>VLOOKUP($C15,'План учебного процесса'!$B$24:$AQ$72,10,FALSE)</f>
        <v>0</v>
      </c>
      <c r="L15" s="275">
        <f>VLOOKUP($C15,'План учебного процесса'!$B$24:$AQ$72,36,FALSE)+VLOOKUP($C15,'План учебного процесса'!$B$24:$AQ$72,41,FALSE)</f>
        <v>2</v>
      </c>
      <c r="M15" s="275">
        <f>VLOOKUP($C15,'План учебного процесса'!$B$24:$AQ$72,37,FALSE)+VLOOKUP($C15,'План учебного процесса'!$B$24:$AQ$72,42,FALSE)</f>
        <v>2</v>
      </c>
      <c r="N15" s="275">
        <f t="shared" si="3"/>
        <v>34</v>
      </c>
      <c r="O15" s="275">
        <f>VLOOKUP($C15,'План учебного процесса'!$B$24:$AQ$72,33,FALSE)</f>
        <v>0</v>
      </c>
      <c r="P15" s="275">
        <f>VLOOKUP($C15,'План учебного процесса'!$B$24:$AQ$72,34,FALSE)</f>
        <v>0</v>
      </c>
      <c r="Q15" s="276">
        <f t="shared" si="4"/>
        <v>0</v>
      </c>
      <c r="R15" s="275">
        <f>VLOOKUP($C15,'План учебного процесса'!$B$24:$AQ$72,38,FALSE)</f>
        <v>36</v>
      </c>
      <c r="S15" s="275">
        <f>VLOOKUP($C15,'План учебного процесса'!$B$24:$AQ$72,39,FALSE)</f>
        <v>0</v>
      </c>
      <c r="T15" s="276">
        <f t="shared" si="5"/>
        <v>1.4693877551020409</v>
      </c>
      <c r="U15" s="274" t="s">
        <v>419</v>
      </c>
    </row>
    <row r="16" spans="1:21" x14ac:dyDescent="0.2">
      <c r="A16" s="275"/>
      <c r="B16" s="275" t="str">
        <f>'План учебного процесса'!A42</f>
        <v>ОП.09</v>
      </c>
      <c r="C16" s="274" t="str">
        <f>VLOOKUP(B16,'План учебного процесса'!$A$24:$B$72,2,FALSE)</f>
        <v>Охрана труда</v>
      </c>
      <c r="D16" s="275"/>
      <c r="E16" s="275">
        <f>VLOOKUP($C16,'План учебного процесса'!$B$24:$AQ$72,4,FALSE)</f>
        <v>0</v>
      </c>
      <c r="F16" s="275">
        <f>VLOOKUP($C16,'План учебного процесса'!$B$24:$AQ$72,5,FALSE)</f>
        <v>6</v>
      </c>
      <c r="G16" s="275">
        <f t="shared" ref="G16" si="6">O16+R16</f>
        <v>40</v>
      </c>
      <c r="H16" s="275">
        <f t="shared" ref="H16" si="7">G16-I16-K16-L16-M16</f>
        <v>24</v>
      </c>
      <c r="I16" s="275">
        <f t="shared" ref="I16" si="8">P16+S16</f>
        <v>10</v>
      </c>
      <c r="J16" s="275"/>
      <c r="K16" s="275">
        <f>VLOOKUP($C16,'План учебного процесса'!$B$24:$AQ$72,10,FALSE)</f>
        <v>0</v>
      </c>
      <c r="L16" s="275">
        <f>VLOOKUP($C16,'План учебного процесса'!$B$24:$AQ$72,36,FALSE)+VLOOKUP($C16,'План учебного процесса'!$B$24:$AQ$72,41,FALSE)</f>
        <v>2</v>
      </c>
      <c r="M16" s="275">
        <f>VLOOKUP($C16,'План учебного процесса'!$B$24:$AQ$72,37,FALSE)+VLOOKUP($C16,'План учебного процесса'!$B$24:$AQ$72,42,FALSE)</f>
        <v>4</v>
      </c>
      <c r="N16" s="275">
        <f t="shared" ref="N16" si="9">G16+J16-L16</f>
        <v>38</v>
      </c>
      <c r="O16" s="275">
        <f>VLOOKUP($C16,'План учебного процесса'!$B$24:$AQ$72,33,FALSE)</f>
        <v>0</v>
      </c>
      <c r="P16" s="275">
        <f>VLOOKUP($C16,'План учебного процесса'!$B$24:$AQ$72,34,FALSE)</f>
        <v>0</v>
      </c>
      <c r="Q16" s="276">
        <f t="shared" ref="Q16" si="10">O16/$P$11</f>
        <v>0</v>
      </c>
      <c r="R16" s="275">
        <f>VLOOKUP($C16,'План учебного процесса'!$B$24:$AQ$72,38,FALSE)</f>
        <v>40</v>
      </c>
      <c r="S16" s="275">
        <f>VLOOKUP($C16,'План учебного процесса'!$B$24:$AQ$72,39,FALSE)</f>
        <v>10</v>
      </c>
      <c r="T16" s="276">
        <f t="shared" ref="T16" si="11">R16/$S$11</f>
        <v>1.6326530612244898</v>
      </c>
      <c r="U16" s="274" t="s">
        <v>300</v>
      </c>
    </row>
    <row r="17" spans="1:21" ht="24" x14ac:dyDescent="0.2">
      <c r="A17" s="275">
        <v>3</v>
      </c>
      <c r="B17" s="275" t="str">
        <f>'План учебного процесса'!A43</f>
        <v>ОП.10</v>
      </c>
      <c r="C17" s="274" t="str">
        <f>VLOOKUP(B17,'План учебного процесса'!$A$24:$B$72,2,FALSE)</f>
        <v>Информационные технологии в профессиональной деятельности</v>
      </c>
      <c r="D17" s="275">
        <f>VLOOKUP($C17,'План учебного процесса'!$B$24:$AQ$72,3,FALSE)</f>
        <v>0</v>
      </c>
      <c r="E17" s="275">
        <f>VLOOKUP($C17,'План учебного процесса'!$B$24:$AQ$72,4,FALSE)</f>
        <v>0</v>
      </c>
      <c r="F17" s="275">
        <f>VLOOKUP($C17,'План учебного процесса'!$B$24:$AQ$72,5,FALSE)</f>
        <v>6</v>
      </c>
      <c r="G17" s="275">
        <f t="shared" si="0"/>
        <v>100</v>
      </c>
      <c r="H17" s="275">
        <f t="shared" si="1"/>
        <v>4</v>
      </c>
      <c r="I17" s="275">
        <f t="shared" si="2"/>
        <v>88</v>
      </c>
      <c r="J17" s="275"/>
      <c r="K17" s="275">
        <f>VLOOKUP($C17,'План учебного процесса'!$B$24:$AQ$72,10,FALSE)</f>
        <v>0</v>
      </c>
      <c r="L17" s="275">
        <f>VLOOKUP($C17,'План учебного процесса'!$B$24:$AQ$72,36,FALSE)+VLOOKUP($C17,'План учебного процесса'!$B$24:$AQ$72,41,FALSE)</f>
        <v>4</v>
      </c>
      <c r="M17" s="275">
        <f>VLOOKUP($C17,'План учебного процесса'!$B$24:$AQ$72,37,FALSE)+VLOOKUP($C17,'План учебного процесса'!$B$24:$AQ$72,42,FALSE)</f>
        <v>4</v>
      </c>
      <c r="N17" s="275">
        <f t="shared" si="3"/>
        <v>96</v>
      </c>
      <c r="O17" s="275">
        <f>VLOOKUP($C17,'План учебного процесса'!$B$24:$AQ$72,33,FALSE)</f>
        <v>66</v>
      </c>
      <c r="P17" s="275">
        <f>VLOOKUP($C17,'План учебного процесса'!$B$24:$AQ$72,34,FALSE)</f>
        <v>60</v>
      </c>
      <c r="Q17" s="276">
        <f t="shared" si="4"/>
        <v>3.8823529411764706</v>
      </c>
      <c r="R17" s="275">
        <f>VLOOKUP($C17,'План учебного процесса'!$B$24:$AQ$72,38,FALSE)</f>
        <v>34</v>
      </c>
      <c r="S17" s="275">
        <f>VLOOKUP($C17,'План учебного процесса'!$B$24:$AQ$72,39,FALSE)</f>
        <v>28</v>
      </c>
      <c r="T17" s="276">
        <f t="shared" si="5"/>
        <v>1.3877551020408163</v>
      </c>
      <c r="U17" s="274" t="s">
        <v>287</v>
      </c>
    </row>
    <row r="18" spans="1:21" ht="24" x14ac:dyDescent="0.2">
      <c r="A18" s="275">
        <v>4</v>
      </c>
      <c r="B18" s="275" t="str">
        <f>'План учебного процесса'!A45</f>
        <v>ОП.12</v>
      </c>
      <c r="C18" s="274" t="str">
        <f>VLOOKUP(B18,'План учебного процесса'!$A$24:$B$72,2,FALSE)</f>
        <v>Основы экономики, менеджмента и маркетинга</v>
      </c>
      <c r="D18" s="275">
        <f>VLOOKUP($C18,'План учебного процесса'!$B$24:$AQ$72,3,FALSE)</f>
        <v>0</v>
      </c>
      <c r="E18" s="275">
        <f>VLOOKUP($C18,'План учебного процесса'!$B$24:$AQ$72,4,FALSE)</f>
        <v>6</v>
      </c>
      <c r="F18" s="275">
        <f>VLOOKUP($C18,'План учебного процесса'!$B$24:$AQ$72,5,FALSE)</f>
        <v>0</v>
      </c>
      <c r="G18" s="275">
        <f t="shared" si="0"/>
        <v>94</v>
      </c>
      <c r="H18" s="275">
        <f t="shared" si="1"/>
        <v>46</v>
      </c>
      <c r="I18" s="275">
        <f t="shared" si="2"/>
        <v>42</v>
      </c>
      <c r="J18" s="275"/>
      <c r="K18" s="275">
        <f>VLOOKUP($C18,'План учебного процесса'!$B$24:$AQ$72,10,FALSE)</f>
        <v>0</v>
      </c>
      <c r="L18" s="275">
        <f>VLOOKUP($C18,'План учебного процесса'!$B$24:$AQ$72,36,FALSE)+VLOOKUP($C18,'План учебного процесса'!$B$24:$AQ$72,41,FALSE)</f>
        <v>4</v>
      </c>
      <c r="M18" s="275">
        <f>VLOOKUP($C18,'План учебного процесса'!$B$24:$AQ$72,37,FALSE)+VLOOKUP($C18,'План учебного процесса'!$B$24:$AQ$72,42,FALSE)</f>
        <v>2</v>
      </c>
      <c r="N18" s="275">
        <f t="shared" si="3"/>
        <v>90</v>
      </c>
      <c r="O18" s="275">
        <f>VLOOKUP($C18,'План учебного процесса'!$B$24:$AQ$72,33,FALSE)</f>
        <v>46</v>
      </c>
      <c r="P18" s="275">
        <f>VLOOKUP($C18,'План учебного процесса'!$B$24:$AQ$72,34,FALSE)</f>
        <v>20</v>
      </c>
      <c r="Q18" s="276">
        <f t="shared" si="4"/>
        <v>2.7058823529411766</v>
      </c>
      <c r="R18" s="275">
        <f>VLOOKUP($C18,'План учебного процесса'!$B$24:$AQ$72,38,FALSE)</f>
        <v>48</v>
      </c>
      <c r="S18" s="275">
        <f>VLOOKUP($C18,'План учебного процесса'!$B$24:$AQ$72,39,FALSE)</f>
        <v>22</v>
      </c>
      <c r="T18" s="276">
        <f t="shared" si="5"/>
        <v>1.9591836734693877</v>
      </c>
      <c r="U18" s="274" t="s">
        <v>283</v>
      </c>
    </row>
    <row r="19" spans="1:21" ht="24" x14ac:dyDescent="0.2">
      <c r="A19" s="275"/>
      <c r="B19" s="275" t="str">
        <f>'План учебного процесса'!A46</f>
        <v>ОП.13</v>
      </c>
      <c r="C19" s="274" t="str">
        <f>VLOOKUP(B19,'План учебного процесса'!$A$24:$B$72,2,FALSE)</f>
        <v>Правовые основы профессиональной деятельности</v>
      </c>
      <c r="D19" s="275">
        <f>VLOOKUP($C19,'План учебного процесса'!$B$24:$AQ$72,3,FALSE)</f>
        <v>0</v>
      </c>
      <c r="E19" s="275">
        <f>VLOOKUP($C19,'План учебного процесса'!$B$24:$AQ$72,4,FALSE)</f>
        <v>6</v>
      </c>
      <c r="F19" s="275">
        <f>VLOOKUP($C19,'План учебного процесса'!$B$24:$AQ$72,5,FALSE)</f>
        <v>0</v>
      </c>
      <c r="G19" s="275">
        <f t="shared" ref="G19" si="12">O19+R19</f>
        <v>58</v>
      </c>
      <c r="H19" s="275">
        <f t="shared" ref="H19" si="13">G19-I19-K19-L19-M19</f>
        <v>40</v>
      </c>
      <c r="I19" s="275">
        <f t="shared" ref="I19" si="14">P19+S19</f>
        <v>14</v>
      </c>
      <c r="J19" s="275"/>
      <c r="K19" s="275">
        <f>VLOOKUP($C19,'План учебного процесса'!$B$24:$AQ$72,10,FALSE)</f>
        <v>0</v>
      </c>
      <c r="L19" s="275">
        <f>VLOOKUP($C19,'План учебного процесса'!$B$24:$AQ$72,36,FALSE)+VLOOKUP($C19,'План учебного процесса'!$B$24:$AQ$72,41,FALSE)</f>
        <v>2</v>
      </c>
      <c r="M19" s="275">
        <f>VLOOKUP($C19,'План учебного процесса'!$B$24:$AQ$72,37,FALSE)+VLOOKUP($C19,'План учебного процесса'!$B$24:$AQ$72,42,FALSE)</f>
        <v>2</v>
      </c>
      <c r="N19" s="275">
        <f t="shared" ref="N19" si="15">G19+J19-L19</f>
        <v>56</v>
      </c>
      <c r="O19" s="275">
        <f>VLOOKUP($C19,'План учебного процесса'!$B$24:$AQ$72,33,FALSE)</f>
        <v>0</v>
      </c>
      <c r="P19" s="275">
        <f>VLOOKUP($C19,'План учебного процесса'!$B$24:$AQ$72,34,FALSE)</f>
        <v>0</v>
      </c>
      <c r="Q19" s="276">
        <f t="shared" ref="Q19" si="16">O19/$P$11</f>
        <v>0</v>
      </c>
      <c r="R19" s="275">
        <f>VLOOKUP($C19,'План учебного процесса'!$B$24:$AQ$72,38,FALSE)</f>
        <v>58</v>
      </c>
      <c r="S19" s="275">
        <f>VLOOKUP($C19,'План учебного процесса'!$B$24:$AQ$72,39,FALSE)</f>
        <v>14</v>
      </c>
      <c r="T19" s="276">
        <f t="shared" ref="T19" si="17">R19/$S$11</f>
        <v>2.3673469387755102</v>
      </c>
      <c r="U19" s="274" t="s">
        <v>294</v>
      </c>
    </row>
    <row r="20" spans="1:21" x14ac:dyDescent="0.2">
      <c r="A20" s="275">
        <v>5</v>
      </c>
      <c r="B20" s="275" t="str">
        <f>'План учебного процесса'!A48</f>
        <v>ОП.15</v>
      </c>
      <c r="C20" s="274" t="str">
        <f>VLOOKUP(B20,'План учебного процесса'!$A$24:$B$72,2,FALSE)</f>
        <v>Основы предпринимательской деятельности</v>
      </c>
      <c r="D20" s="275">
        <f>VLOOKUP($C20,'План учебного процесса'!$B$24:$AQ$72,3,FALSE)</f>
        <v>0</v>
      </c>
      <c r="E20" s="275">
        <f>VLOOKUP($C20,'План учебного процесса'!$B$24:$AQ$72,4,FALSE)</f>
        <v>5</v>
      </c>
      <c r="F20" s="275">
        <f>VLOOKUP($C20,'План учебного процесса'!$B$24:$AQ$72,5,FALSE)</f>
        <v>0</v>
      </c>
      <c r="G20" s="275">
        <f t="shared" si="0"/>
        <v>80</v>
      </c>
      <c r="H20" s="275">
        <f t="shared" si="1"/>
        <v>32</v>
      </c>
      <c r="I20" s="275">
        <f t="shared" si="2"/>
        <v>20</v>
      </c>
      <c r="J20" s="275"/>
      <c r="K20" s="275">
        <f>VLOOKUP($C20,'План учебного процесса'!$B$24:$AQ$72,10,FALSE)</f>
        <v>24</v>
      </c>
      <c r="L20" s="275">
        <f>VLOOKUP($C20,'План учебного процесса'!$B$24:$AQ$72,36,FALSE)+VLOOKUP($C20,'План учебного процесса'!$B$24:$AQ$72,41,FALSE)</f>
        <v>2</v>
      </c>
      <c r="M20" s="275">
        <f>VLOOKUP($C20,'План учебного процесса'!$B$24:$AQ$72,37,FALSE)+VLOOKUP($C20,'План учебного процесса'!$B$24:$AQ$72,42,FALSE)</f>
        <v>2</v>
      </c>
      <c r="N20" s="275">
        <f t="shared" si="3"/>
        <v>78</v>
      </c>
      <c r="O20" s="275">
        <f>VLOOKUP($C20,'План учебного процесса'!$B$24:$AQ$72,33,FALSE)</f>
        <v>80</v>
      </c>
      <c r="P20" s="275">
        <f>VLOOKUP($C20,'План учебного процесса'!$B$24:$AQ$72,34,FALSE)</f>
        <v>20</v>
      </c>
      <c r="Q20" s="276">
        <f t="shared" si="4"/>
        <v>4.7058823529411766</v>
      </c>
      <c r="R20" s="275">
        <f>VLOOKUP($C20,'План учебного процесса'!$B$24:$AQ$72,38,FALSE)</f>
        <v>0</v>
      </c>
      <c r="S20" s="275">
        <f>VLOOKUP($C20,'План учебного процесса'!$B$24:$AQ$72,39,FALSE)</f>
        <v>0</v>
      </c>
      <c r="T20" s="276">
        <f t="shared" si="5"/>
        <v>0</v>
      </c>
      <c r="U20" s="274" t="s">
        <v>283</v>
      </c>
    </row>
    <row r="21" spans="1:21" ht="36" x14ac:dyDescent="0.2">
      <c r="A21" s="275">
        <v>6</v>
      </c>
      <c r="B21" s="275" t="str">
        <f>'План учебного процесса'!A52</f>
        <v>МДК.01.02</v>
      </c>
      <c r="C21" s="274" t="str">
        <f>VLOOKUP(B21,'План учебного процесса'!$A$24:$B$72,2,FALSE)</f>
        <v>Подготовка тракторов и сельскохозяйственных машин и механизмов к работе</v>
      </c>
      <c r="D21" s="275">
        <f>VLOOKUP($C21,'План учебного процесса'!$B$24:$AQ$72,3,FALSE)</f>
        <v>0</v>
      </c>
      <c r="E21" s="275">
        <f>VLOOKUP($C21,'План учебного процесса'!$B$24:$AQ$72,4,FALSE)</f>
        <v>0</v>
      </c>
      <c r="F21" s="275">
        <f>VLOOKUP($C21,'План учебного процесса'!$B$24:$AQ$72,5,FALSE)</f>
        <v>5</v>
      </c>
      <c r="G21" s="275">
        <f t="shared" si="0"/>
        <v>194</v>
      </c>
      <c r="H21" s="275">
        <f t="shared" si="1"/>
        <v>96</v>
      </c>
      <c r="I21" s="275">
        <f t="shared" si="2"/>
        <v>92</v>
      </c>
      <c r="J21" s="275"/>
      <c r="K21" s="275">
        <f>VLOOKUP($C21,'План учебного процесса'!$B$24:$AQ$72,10,FALSE)</f>
        <v>0</v>
      </c>
      <c r="L21" s="275">
        <f>VLOOKUP($C21,'План учебного процесса'!$B$24:$AQ$72,36,FALSE)+VLOOKUP($C21,'План учебного процесса'!$B$24:$AQ$72,41,FALSE)</f>
        <v>2</v>
      </c>
      <c r="M21" s="275">
        <f>VLOOKUP($C21,'План учебного процесса'!$B$24:$AQ$72,37,FALSE)+VLOOKUP($C21,'План учебного процесса'!$B$24:$AQ$72,42,FALSE)</f>
        <v>4</v>
      </c>
      <c r="N21" s="275">
        <f t="shared" si="3"/>
        <v>192</v>
      </c>
      <c r="O21" s="275">
        <f>VLOOKUP($C21,'План учебного процесса'!$B$24:$AQ$72,33,FALSE)</f>
        <v>194</v>
      </c>
      <c r="P21" s="275">
        <f>VLOOKUP($C21,'План учебного процесса'!$B$24:$AQ$72,34,FALSE)</f>
        <v>92</v>
      </c>
      <c r="Q21" s="276">
        <f t="shared" si="4"/>
        <v>11.411764705882353</v>
      </c>
      <c r="R21" s="275">
        <f>VLOOKUP($C21,'План учебного процесса'!$B$24:$AQ$72,38,FALSE)</f>
        <v>0</v>
      </c>
      <c r="S21" s="275">
        <f>VLOOKUP($C21,'План учебного процесса'!$B$24:$AQ$72,39,FALSE)</f>
        <v>0</v>
      </c>
      <c r="T21" s="276">
        <f t="shared" si="5"/>
        <v>0</v>
      </c>
      <c r="U21" s="274"/>
    </row>
    <row r="22" spans="1:21" ht="36" x14ac:dyDescent="0.2">
      <c r="A22" s="275">
        <v>7</v>
      </c>
      <c r="B22" s="275" t="str">
        <f>'План учебного процесса'!A53</f>
        <v>МДК.01.03</v>
      </c>
      <c r="C22" s="274" t="str">
        <f>VLOOKUP(B22,'План учебного процесса'!$A$24:$B$72,2,FALSE)</f>
        <v>Комплектование машинно-тракторных агрегатов для выполнения сельскохозяйственных работ</v>
      </c>
      <c r="D22" s="275">
        <f>VLOOKUP($C22,'План учебного процесса'!$B$24:$AQ$72,3,FALSE)</f>
        <v>0</v>
      </c>
      <c r="E22" s="275">
        <f>VLOOKUP($C22,'План учебного процесса'!$B$24:$AQ$72,4,FALSE)</f>
        <v>5</v>
      </c>
      <c r="F22" s="275">
        <f>VLOOKUP($C22,'План учебного процесса'!$B$24:$AQ$72,5,FALSE)</f>
        <v>6</v>
      </c>
      <c r="G22" s="275">
        <f t="shared" si="0"/>
        <v>200</v>
      </c>
      <c r="H22" s="275">
        <f t="shared" si="1"/>
        <v>90</v>
      </c>
      <c r="I22" s="275">
        <f t="shared" si="2"/>
        <v>100</v>
      </c>
      <c r="J22" s="275"/>
      <c r="K22" s="275">
        <f>VLOOKUP($C22,'План учебного процесса'!$B$24:$AQ$72,10,FALSE)</f>
        <v>0</v>
      </c>
      <c r="L22" s="275">
        <f>VLOOKUP($C22,'План учебного процесса'!$B$24:$AQ$72,36,FALSE)+VLOOKUP($C22,'План учебного процесса'!$B$24:$AQ$72,41,FALSE)</f>
        <v>4</v>
      </c>
      <c r="M22" s="275">
        <f>VLOOKUP($C22,'План учебного процесса'!$B$24:$AQ$72,37,FALSE)+VLOOKUP($C22,'План учебного процесса'!$B$24:$AQ$72,42,FALSE)</f>
        <v>6</v>
      </c>
      <c r="N22" s="275">
        <f t="shared" si="3"/>
        <v>196</v>
      </c>
      <c r="O22" s="275">
        <f>VLOOKUP($C22,'План учебного процесса'!$B$24:$AQ$72,33,FALSE)</f>
        <v>100</v>
      </c>
      <c r="P22" s="275">
        <f>VLOOKUP($C22,'План учебного процесса'!$B$24:$AQ$72,34,FALSE)</f>
        <v>50</v>
      </c>
      <c r="Q22" s="276">
        <f t="shared" si="4"/>
        <v>5.882352941176471</v>
      </c>
      <c r="R22" s="275">
        <f>VLOOKUP($C22,'План учебного процесса'!$B$24:$AQ$72,38,FALSE)</f>
        <v>100</v>
      </c>
      <c r="S22" s="275">
        <f>VLOOKUP($C22,'План учебного процесса'!$B$24:$AQ$72,39,FALSE)</f>
        <v>50</v>
      </c>
      <c r="T22" s="276">
        <f t="shared" si="5"/>
        <v>4.0816326530612246</v>
      </c>
      <c r="U22" s="274"/>
    </row>
    <row r="23" spans="1:21" ht="36" x14ac:dyDescent="0.2">
      <c r="A23" s="275">
        <v>8</v>
      </c>
      <c r="B23" s="275" t="str">
        <f>'План учебного процесса'!A58</f>
        <v>МДК.02.01</v>
      </c>
      <c r="C23" s="274" t="str">
        <f>VLOOKUP(B23,'План учебного процесса'!$A$24:$B$72,2,FALSE)</f>
        <v>Система технического обслуживания и ремонта сельскохозяйственной техники и оборудования</v>
      </c>
      <c r="D23" s="275">
        <f>VLOOKUP($C23,'План учебного процесса'!$B$24:$AQ$72,3,FALSE)</f>
        <v>0</v>
      </c>
      <c r="E23" s="275">
        <f>VLOOKUP($C23,'План учебного процесса'!$B$24:$AQ$72,4,FALSE)</f>
        <v>0</v>
      </c>
      <c r="F23" s="275">
        <f>VLOOKUP($C23,'План учебного процесса'!$B$24:$AQ$72,5,FALSE)</f>
        <v>6</v>
      </c>
      <c r="G23" s="275">
        <f t="shared" si="0"/>
        <v>180</v>
      </c>
      <c r="H23" s="275">
        <f t="shared" si="1"/>
        <v>114</v>
      </c>
      <c r="I23" s="275">
        <f t="shared" si="2"/>
        <v>60</v>
      </c>
      <c r="J23" s="275"/>
      <c r="K23" s="275">
        <f>VLOOKUP($C23,'План учебного процесса'!$B$24:$AQ$72,10,FALSE)</f>
        <v>0</v>
      </c>
      <c r="L23" s="275">
        <f>VLOOKUP($C23,'План учебного процесса'!$B$24:$AQ$72,36,FALSE)+VLOOKUP($C23,'План учебного процесса'!$B$24:$AQ$72,41,FALSE)</f>
        <v>2</v>
      </c>
      <c r="M23" s="275">
        <f>VLOOKUP($C23,'План учебного процесса'!$B$24:$AQ$72,37,FALSE)+VLOOKUP($C23,'План учебного процесса'!$B$24:$AQ$72,42,FALSE)</f>
        <v>4</v>
      </c>
      <c r="N23" s="275">
        <f t="shared" si="3"/>
        <v>178</v>
      </c>
      <c r="O23" s="275">
        <f>VLOOKUP($C23,'План учебного процесса'!$B$24:$AQ$72,33,FALSE)</f>
        <v>46</v>
      </c>
      <c r="P23" s="275">
        <f>VLOOKUP($C23,'План учебного процесса'!$B$24:$AQ$72,34,FALSE)</f>
        <v>10</v>
      </c>
      <c r="Q23" s="276">
        <f t="shared" si="4"/>
        <v>2.7058823529411766</v>
      </c>
      <c r="R23" s="275">
        <f>VLOOKUP($C23,'План учебного процесса'!$B$24:$AQ$72,38,FALSE)</f>
        <v>134</v>
      </c>
      <c r="S23" s="275">
        <f>VLOOKUP($C23,'План учебного процесса'!$B$24:$AQ$72,39,FALSE)</f>
        <v>50</v>
      </c>
      <c r="T23" s="276">
        <f t="shared" si="5"/>
        <v>5.4693877551020407</v>
      </c>
      <c r="U23" s="274"/>
    </row>
    <row r="24" spans="1:21" ht="36" x14ac:dyDescent="0.2">
      <c r="A24" s="275">
        <v>11</v>
      </c>
      <c r="B24" s="275" t="str">
        <f>'План учебного процесса'!A66</f>
        <v>МДК.03.01</v>
      </c>
      <c r="C24" s="274" t="str">
        <f>VLOOKUP(B24,'План учебного процесса'!$A$24:$B$72,2,FALSE)</f>
        <v>Освоение профессии рабочих 19205 Тракторист-машинист сельскохозяйственного производства</v>
      </c>
      <c r="D24" s="275">
        <f>VLOOKUP($C24,'План учебного процесса'!$B$24:$AQ$72,3,FALSE)</f>
        <v>0</v>
      </c>
      <c r="E24" s="275">
        <f>VLOOKUP($C24,'План учебного процесса'!$B$24:$AQ$72,4,FALSE)</f>
        <v>0</v>
      </c>
      <c r="F24" s="275">
        <f>VLOOKUP($C24,'План учебного процесса'!$B$24:$AQ$72,5,FALSE)</f>
        <v>6</v>
      </c>
      <c r="G24" s="275">
        <f t="shared" si="0"/>
        <v>128</v>
      </c>
      <c r="H24" s="275">
        <f t="shared" si="1"/>
        <v>30</v>
      </c>
      <c r="I24" s="275">
        <f t="shared" si="2"/>
        <v>92</v>
      </c>
      <c r="J24" s="275"/>
      <c r="K24" s="275">
        <f>VLOOKUP($C24,'План учебного процесса'!$B$24:$AQ$72,10,FALSE)</f>
        <v>0</v>
      </c>
      <c r="L24" s="275">
        <f>VLOOKUP($C24,'План учебного процесса'!$B$24:$AQ$72,36,FALSE)+VLOOKUP($C24,'План учебного процесса'!$B$24:$AQ$72,41,FALSE)</f>
        <v>2</v>
      </c>
      <c r="M24" s="275">
        <f>VLOOKUP($C24,'План учебного процесса'!$B$24:$AQ$72,37,FALSE)+VLOOKUP($C24,'План учебного процесса'!$B$24:$AQ$72,42,FALSE)</f>
        <v>4</v>
      </c>
      <c r="N24" s="275">
        <f t="shared" si="3"/>
        <v>126</v>
      </c>
      <c r="O24" s="275">
        <f>VLOOKUP($C24,'План учебного процесса'!$B$24:$AQ$72,33,FALSE)</f>
        <v>0</v>
      </c>
      <c r="P24" s="275">
        <f>VLOOKUP($C24,'План учебного процесса'!$B$24:$AQ$72,34,FALSE)</f>
        <v>0</v>
      </c>
      <c r="Q24" s="276">
        <f t="shared" si="4"/>
        <v>0</v>
      </c>
      <c r="R24" s="275">
        <f>VLOOKUP($C24,'План учебного процесса'!$B$24:$AQ$72,38,FALSE)</f>
        <v>128</v>
      </c>
      <c r="S24" s="275">
        <f>VLOOKUP($C24,'План учебного процесса'!$B$24:$AQ$72,39,FALSE)</f>
        <v>92</v>
      </c>
      <c r="T24" s="276">
        <f t="shared" si="5"/>
        <v>5.2244897959183669</v>
      </c>
      <c r="U24" s="274"/>
    </row>
    <row r="25" spans="1:21" x14ac:dyDescent="0.2">
      <c r="A25" s="275">
        <v>12</v>
      </c>
      <c r="B25" s="275" t="str">
        <f>'План учебного процесса'!A67</f>
        <v>УП.03</v>
      </c>
      <c r="C25" s="274" t="str">
        <f>VLOOKUP(B25,'План учебного процесса'!$A$24:$B$72,2,FALSE)</f>
        <v>Учебная практика ПМ03</v>
      </c>
      <c r="D25" s="275">
        <f>VLOOKUP($C25,'План учебного процесса'!$B$24:$AQ$72,3,FALSE)</f>
        <v>0</v>
      </c>
      <c r="E25" s="275">
        <f>VLOOKUP($C25,'План учебного процесса'!$B$24:$AQ$72,4,FALSE)</f>
        <v>6</v>
      </c>
      <c r="F25" s="275">
        <f>VLOOKUP($C25,'План учебного процесса'!$B$24:$AQ$72,5,FALSE)</f>
        <v>0</v>
      </c>
      <c r="G25" s="275">
        <f t="shared" si="0"/>
        <v>108</v>
      </c>
      <c r="H25" s="275">
        <f>VLOOKUP($C25,'План учебного процесса'!$B$24:$AQ$72,8,FALSE)</f>
        <v>0</v>
      </c>
      <c r="I25" s="275">
        <f>VLOOKUP($C25,'План учебного процесса'!$B$24:$AQ$72,9,FALSE)</f>
        <v>0</v>
      </c>
      <c r="J25" s="275"/>
      <c r="K25" s="275">
        <f>VLOOKUP($C25,'План учебного процесса'!$B$24:$AQ$72,10,FALSE)</f>
        <v>0</v>
      </c>
      <c r="L25" s="275">
        <f>VLOOKUP($C25,'План учебного процесса'!$B$24:$AQ$72,36,FALSE)+VLOOKUP($C25,'План учебного процесса'!$B$24:$AQ$72,41,FALSE)</f>
        <v>0</v>
      </c>
      <c r="M25" s="275">
        <f>VLOOKUP($C25,'План учебного процесса'!$B$24:$AQ$72,37,FALSE)+VLOOKUP($C25,'План учебного процесса'!$B$24:$AQ$72,42,FALSE)</f>
        <v>0</v>
      </c>
      <c r="N25" s="275">
        <f t="shared" si="3"/>
        <v>108</v>
      </c>
      <c r="O25" s="275">
        <f>VLOOKUP($C25,'План учебного процесса'!$B$24:$AQ$72,33,FALSE)</f>
        <v>0</v>
      </c>
      <c r="P25" s="275">
        <f>VLOOKUP($C25,'План учебного процесса'!$B$24:$AQ$72,34,FALSE)</f>
        <v>0</v>
      </c>
      <c r="Q25" s="276">
        <f t="shared" si="4"/>
        <v>0</v>
      </c>
      <c r="R25" s="275">
        <f>VLOOKUP($C25,'План учебного процесса'!$B$24:$AQ$72,38,FALSE)</f>
        <v>108</v>
      </c>
      <c r="S25" s="275">
        <f>VLOOKUP($C25,'План учебного процесса'!$B$24:$AQ$72,39,FALSE)</f>
        <v>0</v>
      </c>
      <c r="T25" s="276">
        <f t="shared" si="5"/>
        <v>4.408163265306122</v>
      </c>
      <c r="U25" s="274"/>
    </row>
    <row r="26" spans="1:21" x14ac:dyDescent="0.2">
      <c r="A26" s="275">
        <v>13</v>
      </c>
      <c r="B26" s="275" t="str">
        <f>'План учебного процесса'!A68</f>
        <v>ПП.03</v>
      </c>
      <c r="C26" s="274" t="str">
        <f>VLOOKUP(B26,'План учебного процесса'!$A$24:$B$72,2,FALSE)</f>
        <v>Производственная практика ПМ03</v>
      </c>
      <c r="D26" s="275">
        <f>VLOOKUP($C26,'План учебного процесса'!$B$24:$AQ$72,3,FALSE)</f>
        <v>0</v>
      </c>
      <c r="E26" s="275">
        <f>VLOOKUP($C26,'План учебного процесса'!$B$24:$AQ$72,4,FALSE)</f>
        <v>6</v>
      </c>
      <c r="F26" s="275">
        <f>VLOOKUP($C26,'План учебного процесса'!$B$24:$AQ$72,5,FALSE)</f>
        <v>0</v>
      </c>
      <c r="G26" s="275">
        <f t="shared" si="0"/>
        <v>108</v>
      </c>
      <c r="H26" s="275">
        <f>VLOOKUP($C26,'План учебного процесса'!$B$24:$AQ$72,8,FALSE)</f>
        <v>0</v>
      </c>
      <c r="I26" s="275">
        <f>VLOOKUP($C26,'План учебного процесса'!$B$24:$AQ$72,9,FALSE)</f>
        <v>0</v>
      </c>
      <c r="J26" s="275"/>
      <c r="K26" s="275">
        <f>VLOOKUP($C26,'План учебного процесса'!$B$24:$AQ$72,10,FALSE)</f>
        <v>0</v>
      </c>
      <c r="L26" s="275">
        <f>VLOOKUP($C26,'План учебного процесса'!$B$24:$AQ$72,36,FALSE)+VLOOKUP($C26,'План учебного процесса'!$B$24:$AQ$72,41,FALSE)</f>
        <v>0</v>
      </c>
      <c r="M26" s="275">
        <f>VLOOKUP($C26,'План учебного процесса'!$B$24:$AQ$72,37,FALSE)+VLOOKUP($C26,'План учебного процесса'!$B$24:$AQ$72,42,FALSE)</f>
        <v>0</v>
      </c>
      <c r="N26" s="275">
        <f t="shared" si="3"/>
        <v>108</v>
      </c>
      <c r="O26" s="275">
        <f>VLOOKUP($C26,'План учебного процесса'!$B$24:$AQ$72,33,FALSE)</f>
        <v>0</v>
      </c>
      <c r="P26" s="275">
        <f>VLOOKUP($C26,'План учебного процесса'!$B$24:$AQ$72,34,FALSE)</f>
        <v>0</v>
      </c>
      <c r="Q26" s="276">
        <f t="shared" si="4"/>
        <v>0</v>
      </c>
      <c r="R26" s="275">
        <f>VLOOKUP($C26,'План учебного процесса'!$B$24:$AQ$72,38,FALSE)</f>
        <v>108</v>
      </c>
      <c r="S26" s="275">
        <f>VLOOKUP($C26,'План учебного процесса'!$B$24:$AQ$72,39,FALSE)</f>
        <v>0</v>
      </c>
      <c r="T26" s="276">
        <f t="shared" si="5"/>
        <v>4.408163265306122</v>
      </c>
      <c r="U26" s="274"/>
    </row>
    <row r="27" spans="1:21" x14ac:dyDescent="0.2">
      <c r="A27" s="275">
        <v>14</v>
      </c>
      <c r="B27" s="275" t="str">
        <f>'План учебного процесса'!A69</f>
        <v>ПМ 03</v>
      </c>
      <c r="C27" s="274" t="str">
        <f>VLOOKUP(B27,'План учебного процесса'!$A$24:$B$72,2,FALSE)</f>
        <v>Экзамен по модулю ПМ03</v>
      </c>
      <c r="D27" s="275">
        <f>VLOOKUP($C27,'План учебного процесса'!$B$24:$AQ$72,3,FALSE)</f>
        <v>0</v>
      </c>
      <c r="E27" s="275">
        <f>VLOOKUP($C27,'План учебного процесса'!$B$24:$AQ$72,4,FALSE)</f>
        <v>0</v>
      </c>
      <c r="F27" s="275">
        <f>VLOOKUP($C27,'План учебного процесса'!$B$24:$AQ$72,5,FALSE)</f>
        <v>6</v>
      </c>
      <c r="G27" s="275">
        <f t="shared" si="0"/>
        <v>6</v>
      </c>
      <c r="H27" s="275">
        <f>VLOOKUP($C27,'План учебного процесса'!$B$24:$AQ$72,8,FALSE)</f>
        <v>0</v>
      </c>
      <c r="I27" s="275">
        <f>VLOOKUP($C27,'План учебного процесса'!$B$24:$AQ$72,9,FALSE)</f>
        <v>0</v>
      </c>
      <c r="J27" s="275"/>
      <c r="K27" s="275">
        <f>VLOOKUP($C27,'План учебного процесса'!$B$24:$AQ$72,10,FALSE)</f>
        <v>0</v>
      </c>
      <c r="L27" s="275">
        <f>VLOOKUP($C27,'План учебного процесса'!$B$24:$AQ$72,36,FALSE)+VLOOKUP($C27,'План учебного процесса'!$B$24:$AQ$72,41,FALSE)</f>
        <v>0</v>
      </c>
      <c r="M27" s="275">
        <f>VLOOKUP($C27,'План учебного процесса'!$B$24:$AQ$72,37,FALSE)+VLOOKUP($C27,'План учебного процесса'!$B$24:$AQ$72,42,FALSE)</f>
        <v>6</v>
      </c>
      <c r="N27" s="275">
        <f t="shared" si="3"/>
        <v>6</v>
      </c>
      <c r="O27" s="275">
        <f>VLOOKUP($C27,'План учебного процесса'!$B$24:$AQ$72,33,FALSE)</f>
        <v>0</v>
      </c>
      <c r="P27" s="275">
        <f>VLOOKUP($C27,'План учебного процесса'!$B$24:$AQ$72,34,FALSE)</f>
        <v>0</v>
      </c>
      <c r="Q27" s="276">
        <f t="shared" si="4"/>
        <v>0</v>
      </c>
      <c r="R27" s="275">
        <f>VLOOKUP($C27,'План учебного процесса'!$B$24:$AQ$72,38,FALSE)</f>
        <v>6</v>
      </c>
      <c r="S27" s="275">
        <f>VLOOKUP($C27,'План учебного процесса'!$B$24:$AQ$72,39,FALSE)</f>
        <v>0</v>
      </c>
      <c r="T27" s="276">
        <f t="shared" si="5"/>
        <v>0.24489795918367346</v>
      </c>
      <c r="U27" s="274"/>
    </row>
    <row r="28" spans="1:21" x14ac:dyDescent="0.2">
      <c r="A28" s="277"/>
      <c r="B28" s="277"/>
      <c r="C28" s="278" t="s">
        <v>395</v>
      </c>
      <c r="D28" s="279"/>
      <c r="E28" s="279"/>
      <c r="F28" s="279"/>
      <c r="G28" s="281">
        <f>SUM(G13:G27)</f>
        <v>1494</v>
      </c>
      <c r="H28" s="283"/>
      <c r="I28" s="283"/>
      <c r="J28" s="283"/>
      <c r="K28" s="283"/>
      <c r="L28" s="281"/>
      <c r="M28" s="281"/>
      <c r="N28" s="281">
        <f>SUM(N13:N27)</f>
        <v>1464</v>
      </c>
      <c r="O28" s="281">
        <f>SUM(O13:O27)</f>
        <v>612</v>
      </c>
      <c r="P28" s="281"/>
      <c r="Q28" s="281">
        <f>SUM(Q13:Q27)</f>
        <v>36</v>
      </c>
      <c r="R28" s="281">
        <f>SUM(R13:R27)</f>
        <v>882</v>
      </c>
      <c r="S28" s="281"/>
      <c r="T28" s="281">
        <f>SUM(T13:T27)</f>
        <v>36</v>
      </c>
      <c r="U28" s="274"/>
    </row>
  </sheetData>
  <mergeCells count="21">
    <mergeCell ref="A1:U1"/>
    <mergeCell ref="A9:A12"/>
    <mergeCell ref="B9:B12"/>
    <mergeCell ref="C9:C12"/>
    <mergeCell ref="D9:F9"/>
    <mergeCell ref="G9:M9"/>
    <mergeCell ref="N9:N12"/>
    <mergeCell ref="O9:T9"/>
    <mergeCell ref="U9:U12"/>
    <mergeCell ref="D10:D12"/>
    <mergeCell ref="O10:Q10"/>
    <mergeCell ref="R10:T10"/>
    <mergeCell ref="H11:H12"/>
    <mergeCell ref="I11:J11"/>
    <mergeCell ref="K11:K12"/>
    <mergeCell ref="L11:L12"/>
    <mergeCell ref="M11:M12"/>
    <mergeCell ref="E10:E12"/>
    <mergeCell ref="F10:F12"/>
    <mergeCell ref="G10:G12"/>
    <mergeCell ref="H10:M10"/>
  </mergeCells>
  <conditionalFormatting sqref="D13:M27">
    <cfRule type="cellIs" dxfId="2" priority="1" operator="equal">
      <formula>0</formula>
    </cfRule>
  </conditionalFormatting>
  <conditionalFormatting sqref="O13:T27">
    <cfRule type="cellIs" dxfId="1" priority="2" operator="equal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23"/>
  <sheetViews>
    <sheetView topLeftCell="B1" zoomScale="130" zoomScaleNormal="130" workbookViewId="0">
      <selection activeCell="C16" sqref="C16"/>
    </sheetView>
  </sheetViews>
  <sheetFormatPr defaultColWidth="8.7109375" defaultRowHeight="12.75" x14ac:dyDescent="0.2"/>
  <cols>
    <col min="1" max="1" width="3.140625" customWidth="1"/>
    <col min="2" max="2" width="8.85546875" customWidth="1"/>
    <col min="3" max="3" width="34.7109375" customWidth="1"/>
    <col min="4" max="6" width="6.5703125" customWidth="1"/>
    <col min="8" max="11" width="7" customWidth="1"/>
    <col min="12" max="12" width="6.7109375" customWidth="1"/>
    <col min="15" max="15" width="7.85546875" customWidth="1"/>
    <col min="16" max="17" width="8.85546875" bestFit="1" customWidth="1"/>
    <col min="18" max="18" width="9.42578125" bestFit="1" customWidth="1"/>
    <col min="19" max="20" width="8.85546875" bestFit="1" customWidth="1"/>
    <col min="21" max="21" width="25.28515625" customWidth="1"/>
  </cols>
  <sheetData>
    <row r="1" spans="1:21" ht="27" customHeight="1" x14ac:dyDescent="0.2">
      <c r="A1" s="364" t="s">
        <v>404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</row>
    <row r="2" spans="1:21" ht="13.5" x14ac:dyDescent="0.25">
      <c r="A2" s="28"/>
      <c r="B2" s="28"/>
      <c r="C2" s="28" t="s">
        <v>354</v>
      </c>
      <c r="D2" s="271" t="s">
        <v>403</v>
      </c>
      <c r="E2" s="28"/>
      <c r="F2" s="28"/>
      <c r="K2" s="28"/>
      <c r="L2" s="28"/>
      <c r="M2" s="28"/>
      <c r="N2" s="28"/>
      <c r="O2" s="28"/>
      <c r="P2" s="28"/>
      <c r="Q2" s="28"/>
      <c r="R2" s="28" t="s">
        <v>405</v>
      </c>
      <c r="S2" s="282"/>
      <c r="T2" s="28"/>
      <c r="U2" s="28"/>
    </row>
    <row r="3" spans="1:21" ht="13.5" x14ac:dyDescent="0.25">
      <c r="A3" s="28"/>
      <c r="B3" s="28"/>
      <c r="C3" s="28" t="s">
        <v>355</v>
      </c>
      <c r="D3" s="271" t="s">
        <v>400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3.5" x14ac:dyDescent="0.25">
      <c r="A4" s="28"/>
      <c r="B4" s="28"/>
      <c r="C4" s="28" t="s">
        <v>179</v>
      </c>
      <c r="D4" s="272">
        <v>4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 ht="13.5" x14ac:dyDescent="0.25">
      <c r="A5" s="28"/>
      <c r="B5" s="28"/>
      <c r="C5" s="28" t="s">
        <v>180</v>
      </c>
      <c r="D5" s="27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3.5" x14ac:dyDescent="0.25">
      <c r="A6" s="28"/>
      <c r="B6" s="28"/>
      <c r="C6" s="28" t="s">
        <v>356</v>
      </c>
      <c r="D6" s="272">
        <v>25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 t="s">
        <v>406</v>
      </c>
      <c r="S6" s="28"/>
      <c r="T6" s="28"/>
      <c r="U6" s="28"/>
    </row>
    <row r="7" spans="1:21" ht="13.5" x14ac:dyDescent="0.25">
      <c r="A7" s="28"/>
      <c r="B7" s="28"/>
      <c r="C7" s="28" t="s">
        <v>357</v>
      </c>
      <c r="D7" s="272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spans="1:21" ht="20.45" customHeight="1" x14ac:dyDescent="0.2">
      <c r="A9" s="363" t="s">
        <v>278</v>
      </c>
      <c r="B9" s="365" t="s">
        <v>13</v>
      </c>
      <c r="C9" s="363" t="s">
        <v>358</v>
      </c>
      <c r="D9" s="363" t="s">
        <v>359</v>
      </c>
      <c r="E9" s="363"/>
      <c r="F9" s="363"/>
      <c r="G9" s="363" t="s">
        <v>360</v>
      </c>
      <c r="H9" s="363"/>
      <c r="I9" s="363"/>
      <c r="J9" s="363"/>
      <c r="K9" s="363"/>
      <c r="L9" s="363"/>
      <c r="M9" s="363"/>
      <c r="N9" s="365" t="s">
        <v>361</v>
      </c>
      <c r="O9" s="363" t="s">
        <v>362</v>
      </c>
      <c r="P9" s="363"/>
      <c r="Q9" s="363"/>
      <c r="R9" s="363"/>
      <c r="S9" s="363"/>
      <c r="T9" s="363"/>
      <c r="U9" s="363" t="s">
        <v>363</v>
      </c>
    </row>
    <row r="10" spans="1:21" ht="17.100000000000001" customHeight="1" x14ac:dyDescent="0.2">
      <c r="A10" s="363"/>
      <c r="B10" s="365"/>
      <c r="C10" s="363"/>
      <c r="D10" s="365" t="s">
        <v>366</v>
      </c>
      <c r="E10" s="365" t="s">
        <v>365</v>
      </c>
      <c r="F10" s="365" t="s">
        <v>364</v>
      </c>
      <c r="G10" s="365" t="s">
        <v>367</v>
      </c>
      <c r="H10" s="357" t="s">
        <v>410</v>
      </c>
      <c r="I10" s="358"/>
      <c r="J10" s="358"/>
      <c r="K10" s="358"/>
      <c r="L10" s="358"/>
      <c r="M10" s="358"/>
      <c r="N10" s="365"/>
      <c r="O10" s="363" t="str">
        <f>'План учебного процесса'!AR5</f>
        <v>7 семестр (+2п/11н)</v>
      </c>
      <c r="P10" s="363"/>
      <c r="Q10" s="363"/>
      <c r="R10" s="363" t="str">
        <f>'План учебного процесса'!AW5</f>
        <v>8  семестр (+3п/12н)</v>
      </c>
      <c r="S10" s="363"/>
      <c r="T10" s="363"/>
      <c r="U10" s="363"/>
    </row>
    <row r="11" spans="1:21" ht="18.600000000000001" customHeight="1" x14ac:dyDescent="0.2">
      <c r="A11" s="363"/>
      <c r="B11" s="365"/>
      <c r="C11" s="363"/>
      <c r="D11" s="365"/>
      <c r="E11" s="365"/>
      <c r="F11" s="365"/>
      <c r="G11" s="365"/>
      <c r="H11" s="361" t="s">
        <v>271</v>
      </c>
      <c r="I11" s="359" t="s">
        <v>411</v>
      </c>
      <c r="J11" s="360"/>
      <c r="K11" s="361" t="s">
        <v>369</v>
      </c>
      <c r="L11" s="361" t="s">
        <v>368</v>
      </c>
      <c r="M11" s="361" t="s">
        <v>33</v>
      </c>
      <c r="N11" s="365"/>
      <c r="O11" s="274"/>
      <c r="P11" s="275">
        <f>'План учебного процесса'!AR7</f>
        <v>17</v>
      </c>
      <c r="Q11" s="274" t="s">
        <v>370</v>
      </c>
      <c r="R11" s="274"/>
      <c r="S11" s="275">
        <f>'План учебного процесса'!AW7</f>
        <v>18</v>
      </c>
      <c r="T11" s="274" t="s">
        <v>370</v>
      </c>
      <c r="U11" s="363"/>
    </row>
    <row r="12" spans="1:21" ht="53.1" customHeight="1" x14ac:dyDescent="0.2">
      <c r="A12" s="363"/>
      <c r="B12" s="365"/>
      <c r="C12" s="363"/>
      <c r="D12" s="365"/>
      <c r="E12" s="365"/>
      <c r="F12" s="365"/>
      <c r="G12" s="365"/>
      <c r="H12" s="362"/>
      <c r="I12" s="284" t="s">
        <v>198</v>
      </c>
      <c r="J12" s="284" t="s">
        <v>371</v>
      </c>
      <c r="K12" s="362"/>
      <c r="L12" s="362"/>
      <c r="M12" s="362"/>
      <c r="N12" s="365"/>
      <c r="O12" s="273" t="s">
        <v>198</v>
      </c>
      <c r="P12" s="273" t="s">
        <v>372</v>
      </c>
      <c r="Q12" s="273" t="s">
        <v>373</v>
      </c>
      <c r="R12" s="273" t="s">
        <v>198</v>
      </c>
      <c r="S12" s="273" t="s">
        <v>374</v>
      </c>
      <c r="T12" s="273" t="s">
        <v>373</v>
      </c>
      <c r="U12" s="363"/>
    </row>
    <row r="13" spans="1:21" x14ac:dyDescent="0.2">
      <c r="A13" s="275">
        <v>4</v>
      </c>
      <c r="B13" s="275" t="str">
        <f>'План учебного процесса'!A54</f>
        <v>УП.01</v>
      </c>
      <c r="C13" s="274" t="str">
        <f>VLOOKUP(B13,'План учебного процесса'!$A$24:$B$72,2,FALSE)</f>
        <v>Учебная практика ПМ01</v>
      </c>
      <c r="D13" s="275">
        <f>VLOOKUP($C13,'План учебного процесса'!$B$24:$BA$72,3,FALSE)</f>
        <v>0</v>
      </c>
      <c r="E13" s="275">
        <f>VLOOKUP($C13,'План учебного процесса'!$B$24:$BA$72,4,FALSE)</f>
        <v>7</v>
      </c>
      <c r="F13" s="275">
        <f>VLOOKUP($C13,'План учебного процесса'!$B$24:$BA$72,5,FALSE)</f>
        <v>0</v>
      </c>
      <c r="G13" s="275">
        <f t="shared" ref="G13:G22" si="0">O13+R13</f>
        <v>252</v>
      </c>
      <c r="H13" s="275">
        <f t="shared" ref="H13:H22" si="1">G13-I13-K13-L13-M13</f>
        <v>252</v>
      </c>
      <c r="I13" s="275">
        <f t="shared" ref="I13:I22" si="2">P13+S13</f>
        <v>0</v>
      </c>
      <c r="J13" s="275"/>
      <c r="K13" s="275">
        <f>VLOOKUP($C13,'План учебного процесса'!$B$24:$BA$72,10,FALSE)</f>
        <v>0</v>
      </c>
      <c r="L13" s="275">
        <f>VLOOKUP($C13,'План учебного процесса'!$B$24:$BA$72,46,FALSE)+VLOOKUP($C13,'План учебного процесса'!$B$24:$BA$72,51,FALSE)</f>
        <v>0</v>
      </c>
      <c r="M13" s="275">
        <f>VLOOKUP($C13,'План учебного процесса'!$B$24:$BA$72,47,FALSE)+VLOOKUP($C13,'План учебного процесса'!$B$24:$BA$72,52,FALSE)</f>
        <v>0</v>
      </c>
      <c r="N13" s="275">
        <f t="shared" ref="N13:N22" si="3">G13+J13-L13</f>
        <v>252</v>
      </c>
      <c r="O13" s="275">
        <f>VLOOKUP($C13,'План учебного процесса'!$B$24:$BA$72,43,FALSE)</f>
        <v>252</v>
      </c>
      <c r="P13" s="275">
        <f>VLOOKUP($C13,'План учебного процесса'!$B$24:$BA$72,44,FALSE)</f>
        <v>0</v>
      </c>
      <c r="Q13" s="276">
        <f t="shared" ref="Q13:Q22" si="4">O13/$P$11</f>
        <v>14.823529411764707</v>
      </c>
      <c r="R13" s="275">
        <f>VLOOKUP($C13,'План учебного процесса'!$B$24:$BA$72,48,FALSE)</f>
        <v>0</v>
      </c>
      <c r="S13" s="275">
        <f>VLOOKUP($C13,'План учебного процесса'!$B$24:$BA$72,49,FALSE)</f>
        <v>0</v>
      </c>
      <c r="T13" s="276">
        <f t="shared" ref="T13:T22" si="5">R13/$S$11</f>
        <v>0</v>
      </c>
      <c r="U13" s="274"/>
    </row>
    <row r="14" spans="1:21" x14ac:dyDescent="0.2">
      <c r="A14" s="275">
        <v>5</v>
      </c>
      <c r="B14" s="275" t="str">
        <f>'План учебного процесса'!A55</f>
        <v>ПП.01</v>
      </c>
      <c r="C14" s="274" t="str">
        <f>VLOOKUP(B14,'План учебного процесса'!$A$24:$B$72,2,FALSE)</f>
        <v>Производственная практика ПМ01</v>
      </c>
      <c r="D14" s="275">
        <f>VLOOKUP($C14,'План учебного процесса'!$B$24:$BA$72,3,FALSE)</f>
        <v>0</v>
      </c>
      <c r="E14" s="275">
        <f>VLOOKUP($C14,'План учебного процесса'!$B$24:$BA$72,4,FALSE)</f>
        <v>7</v>
      </c>
      <c r="F14" s="275">
        <f>VLOOKUP($C14,'План учебного процесса'!$B$24:$BA$72,5,FALSE)</f>
        <v>0</v>
      </c>
      <c r="G14" s="275">
        <f t="shared" si="0"/>
        <v>144</v>
      </c>
      <c r="H14" s="275">
        <f t="shared" si="1"/>
        <v>144</v>
      </c>
      <c r="I14" s="275">
        <f t="shared" si="2"/>
        <v>0</v>
      </c>
      <c r="J14" s="275"/>
      <c r="K14" s="275">
        <f>VLOOKUP($C14,'План учебного процесса'!$B$24:$BA$72,10,FALSE)</f>
        <v>0</v>
      </c>
      <c r="L14" s="275">
        <f>VLOOKUP($C14,'План учебного процесса'!$B$24:$BA$72,46,FALSE)+VLOOKUP($C14,'План учебного процесса'!$B$24:$BA$72,51,FALSE)</f>
        <v>0</v>
      </c>
      <c r="M14" s="275">
        <f>VLOOKUP($C14,'План учебного процесса'!$B$24:$BA$72,47,FALSE)+VLOOKUP($C14,'План учебного процесса'!$B$24:$BA$72,52,FALSE)</f>
        <v>0</v>
      </c>
      <c r="N14" s="275">
        <f t="shared" si="3"/>
        <v>144</v>
      </c>
      <c r="O14" s="275">
        <f>VLOOKUP($C14,'План учебного процесса'!$B$24:$BA$72,43,FALSE)</f>
        <v>144</v>
      </c>
      <c r="P14" s="275">
        <f>VLOOKUP($C14,'План учебного процесса'!$B$24:$BA$72,44,FALSE)</f>
        <v>0</v>
      </c>
      <c r="Q14" s="276">
        <f t="shared" si="4"/>
        <v>8.4705882352941178</v>
      </c>
      <c r="R14" s="275">
        <f>VLOOKUP($C14,'План учебного процесса'!$B$24:$BA$72,48,FALSE)</f>
        <v>0</v>
      </c>
      <c r="S14" s="275">
        <f>VLOOKUP($C14,'План учебного процесса'!$B$24:$BA$72,49,FALSE)</f>
        <v>0</v>
      </c>
      <c r="T14" s="276">
        <f t="shared" si="5"/>
        <v>0</v>
      </c>
      <c r="U14" s="274"/>
    </row>
    <row r="15" spans="1:21" x14ac:dyDescent="0.2">
      <c r="A15" s="275">
        <v>6</v>
      </c>
      <c r="B15" s="275" t="str">
        <f>'План учебного процесса'!A56</f>
        <v>ПМ 01</v>
      </c>
      <c r="C15" s="274" t="str">
        <f>VLOOKUP(B15,'План учебного процесса'!$A$24:$B$72,2,FALSE)</f>
        <v>Экзамен по модулю ПМ 01</v>
      </c>
      <c r="D15" s="275">
        <f>VLOOKUP($C15,'План учебного процесса'!$B$24:$BA$72,3,FALSE)</f>
        <v>0</v>
      </c>
      <c r="E15" s="275">
        <f>VLOOKUP($C15,'План учебного процесса'!$B$24:$BA$72,4,FALSE)</f>
        <v>0</v>
      </c>
      <c r="F15" s="275">
        <f>VLOOKUP($C15,'План учебного процесса'!$B$24:$BA$72,5,FALSE)</f>
        <v>7</v>
      </c>
      <c r="G15" s="275">
        <f t="shared" si="0"/>
        <v>6</v>
      </c>
      <c r="H15" s="275">
        <f t="shared" si="1"/>
        <v>0</v>
      </c>
      <c r="I15" s="275">
        <f t="shared" si="2"/>
        <v>0</v>
      </c>
      <c r="J15" s="275"/>
      <c r="K15" s="275">
        <f>VLOOKUP($C15,'План учебного процесса'!$B$24:$BA$72,10,FALSE)</f>
        <v>0</v>
      </c>
      <c r="L15" s="275">
        <f>VLOOKUP($C15,'План учебного процесса'!$B$24:$BA$72,46,FALSE)+VLOOKUP($C15,'План учебного процесса'!$B$24:$BA$72,51,FALSE)</f>
        <v>0</v>
      </c>
      <c r="M15" s="275">
        <f>VLOOKUP($C15,'План учебного процесса'!$B$24:$BA$72,47,FALSE)+VLOOKUP($C15,'План учебного процесса'!$B$24:$BA$72,52,FALSE)</f>
        <v>6</v>
      </c>
      <c r="N15" s="275">
        <f t="shared" si="3"/>
        <v>6</v>
      </c>
      <c r="O15" s="275">
        <f>VLOOKUP($C15,'План учебного процесса'!$B$24:$BA$72,43,FALSE)</f>
        <v>6</v>
      </c>
      <c r="P15" s="275">
        <f>VLOOKUP($C15,'План учебного процесса'!$B$24:$BA$72,44,FALSE)</f>
        <v>0</v>
      </c>
      <c r="Q15" s="276">
        <f t="shared" si="4"/>
        <v>0.35294117647058826</v>
      </c>
      <c r="R15" s="275">
        <f>VLOOKUP($C15,'План учебного процесса'!$B$24:$BA$72,48,FALSE)</f>
        <v>0</v>
      </c>
      <c r="S15" s="275">
        <f>VLOOKUP($C15,'План учебного процесса'!$B$24:$BA$72,49,FALSE)</f>
        <v>0</v>
      </c>
      <c r="T15" s="276">
        <f t="shared" si="5"/>
        <v>0</v>
      </c>
      <c r="U15" s="274"/>
    </row>
    <row r="16" spans="1:21" ht="36" x14ac:dyDescent="0.2">
      <c r="A16" s="275">
        <v>7</v>
      </c>
      <c r="B16" s="275" t="str">
        <f>'План учебного процесса'!A59</f>
        <v>МДК.02.02</v>
      </c>
      <c r="C16" s="274" t="str">
        <f>VLOOKUP(B16,'План учебного процесса'!$A$24:$B$72,2,FALSE)</f>
        <v>Материально-техническое обеспечение технического обслуживания и ремонта сельскохозяйственной техники в организации</v>
      </c>
      <c r="D16" s="275">
        <f>VLOOKUP($C16,'План учебного процесса'!$B$24:$BA$72,3,FALSE)</f>
        <v>0</v>
      </c>
      <c r="E16" s="275">
        <f>VLOOKUP($C16,'План учебного процесса'!$B$24:$BA$72,4,FALSE)</f>
        <v>6</v>
      </c>
      <c r="F16" s="275">
        <f>VLOOKUP($C16,'План учебного процесса'!$B$24:$BA$72,5,FALSE)</f>
        <v>0</v>
      </c>
      <c r="G16" s="275">
        <f t="shared" si="0"/>
        <v>42</v>
      </c>
      <c r="H16" s="275">
        <f t="shared" si="1"/>
        <v>20</v>
      </c>
      <c r="I16" s="275">
        <f t="shared" si="2"/>
        <v>18</v>
      </c>
      <c r="J16" s="275"/>
      <c r="K16" s="275">
        <f>VLOOKUP($C16,'План учебного процесса'!$B$24:$BA$72,10,FALSE)</f>
        <v>0</v>
      </c>
      <c r="L16" s="275">
        <f>VLOOKUP($C16,'План учебного процесса'!$B$24:$BA$72,46,FALSE)+VLOOKUP($C16,'План учебного процесса'!$B$24:$BA$72,51,FALSE)</f>
        <v>2</v>
      </c>
      <c r="M16" s="275">
        <f>VLOOKUP($C16,'План учебного процесса'!$B$24:$BA$72,47,FALSE)+VLOOKUP($C16,'План учебного процесса'!$B$24:$BA$72,52,FALSE)</f>
        <v>2</v>
      </c>
      <c r="N16" s="275">
        <f t="shared" si="3"/>
        <v>40</v>
      </c>
      <c r="O16" s="275">
        <f>VLOOKUP($C16,'План учебного процесса'!$B$24:$BA$72,43,FALSE)</f>
        <v>42</v>
      </c>
      <c r="P16" s="275">
        <f>VLOOKUP($C16,'План учебного процесса'!$B$24:$BA$72,44,FALSE)</f>
        <v>18</v>
      </c>
      <c r="Q16" s="276">
        <f t="shared" si="4"/>
        <v>2.4705882352941178</v>
      </c>
      <c r="R16" s="275">
        <f>VLOOKUP($C16,'План учебного процесса'!$B$24:$BA$72,48,FALSE)</f>
        <v>0</v>
      </c>
      <c r="S16" s="275">
        <f>VLOOKUP($C16,'План учебного процесса'!$B$24:$BA$72,49,FALSE)</f>
        <v>0</v>
      </c>
      <c r="T16" s="276">
        <f t="shared" si="5"/>
        <v>0</v>
      </c>
      <c r="U16" s="274"/>
    </row>
    <row r="17" spans="1:21" ht="24" x14ac:dyDescent="0.2">
      <c r="A17" s="275">
        <v>8</v>
      </c>
      <c r="B17" s="275" t="str">
        <f>'План учебного процесса'!A60</f>
        <v>МДК.02.03</v>
      </c>
      <c r="C17" s="274" t="str">
        <f>VLOOKUP(B17,'План учебного процесса'!$A$24:$B$72,2,FALSE)</f>
        <v>Технологические процессы ремонтного производства</v>
      </c>
      <c r="D17" s="275">
        <f>VLOOKUP($C17,'План учебного процесса'!$B$24:$BA$72,3,FALSE)</f>
        <v>0</v>
      </c>
      <c r="E17" s="275"/>
      <c r="F17" s="275">
        <f>VLOOKUP($C17,'План учебного процесса'!$B$24:$BA$72,5,FALSE)</f>
        <v>8</v>
      </c>
      <c r="G17" s="275">
        <f t="shared" si="0"/>
        <v>184</v>
      </c>
      <c r="H17" s="275">
        <f t="shared" si="1"/>
        <v>70</v>
      </c>
      <c r="I17" s="275">
        <f t="shared" si="2"/>
        <v>80</v>
      </c>
      <c r="J17" s="275"/>
      <c r="K17" s="275">
        <f>VLOOKUP($C17,'План учебного процесса'!$B$24:$BA$72,10,FALSE)</f>
        <v>24</v>
      </c>
      <c r="L17" s="275">
        <f>VLOOKUP($C17,'План учебного процесса'!$B$24:$BA$72,46,FALSE)+VLOOKUP($C17,'План учебного процесса'!$B$24:$BA$72,51,FALSE)</f>
        <v>4</v>
      </c>
      <c r="M17" s="275">
        <f>VLOOKUP($C17,'План учебного процесса'!$B$24:$BA$72,47,FALSE)+VLOOKUP($C17,'План учебного процесса'!$B$24:$BA$72,52,FALSE)</f>
        <v>6</v>
      </c>
      <c r="N17" s="275">
        <f t="shared" si="3"/>
        <v>180</v>
      </c>
      <c r="O17" s="275">
        <f>VLOOKUP($C17,'План учебного процесса'!$B$24:$BA$72,43,FALSE)</f>
        <v>88</v>
      </c>
      <c r="P17" s="275">
        <f>VLOOKUP($C17,'План учебного процесса'!$B$24:$BA$72,44,FALSE)</f>
        <v>38</v>
      </c>
      <c r="Q17" s="276">
        <f t="shared" si="4"/>
        <v>5.1764705882352944</v>
      </c>
      <c r="R17" s="275">
        <f>VLOOKUP($C17,'План учебного процесса'!$B$24:$BA$72,48,FALSE)</f>
        <v>96</v>
      </c>
      <c r="S17" s="275">
        <f>VLOOKUP($C17,'План учебного процесса'!$B$24:$BA$72,49,FALSE)</f>
        <v>42</v>
      </c>
      <c r="T17" s="276">
        <f t="shared" si="5"/>
        <v>5.333333333333333</v>
      </c>
      <c r="U17" s="274"/>
    </row>
    <row r="18" spans="1:21" ht="24" x14ac:dyDescent="0.2">
      <c r="A18" s="275">
        <v>9</v>
      </c>
      <c r="B18" s="275" t="str">
        <f>'План учебного процесса'!A61</f>
        <v>МДК.02.04</v>
      </c>
      <c r="C18" s="274" t="str">
        <f>VLOOKUP(B18,'План учебного процесса'!$A$24:$B$72,2,FALSE)</f>
        <v>Организация производства и управление на сельскохозяйственном предприятии</v>
      </c>
      <c r="D18" s="275">
        <f>VLOOKUP($C18,'План учебного процесса'!$B$24:$BA$72,3,FALSE)</f>
        <v>0</v>
      </c>
      <c r="E18" s="275"/>
      <c r="F18" s="275">
        <f>VLOOKUP($C18,'План учебного процесса'!$B$24:$BA$72,5,FALSE)</f>
        <v>8</v>
      </c>
      <c r="G18" s="275">
        <f t="shared" si="0"/>
        <v>194</v>
      </c>
      <c r="H18" s="275">
        <f t="shared" si="1"/>
        <v>114</v>
      </c>
      <c r="I18" s="275">
        <f t="shared" si="2"/>
        <v>70</v>
      </c>
      <c r="J18" s="275"/>
      <c r="K18" s="275">
        <f>VLOOKUP($C18,'План учебного процесса'!$B$24:$BA$72,10,FALSE)</f>
        <v>0</v>
      </c>
      <c r="L18" s="275">
        <f>VLOOKUP($C18,'План учебного процесса'!$B$24:$BA$72,46,FALSE)+VLOOKUP($C18,'План учебного процесса'!$B$24:$BA$72,51,FALSE)</f>
        <v>4</v>
      </c>
      <c r="M18" s="275">
        <f>VLOOKUP($C18,'План учебного процесса'!$B$24:$BA$72,47,FALSE)+VLOOKUP($C18,'План учебного процесса'!$B$24:$BA$72,52,FALSE)</f>
        <v>6</v>
      </c>
      <c r="N18" s="275">
        <f t="shared" si="3"/>
        <v>190</v>
      </c>
      <c r="O18" s="275">
        <f>VLOOKUP($C18,'План учебного процесса'!$B$24:$BA$72,43,FALSE)</f>
        <v>80</v>
      </c>
      <c r="P18" s="275">
        <f>VLOOKUP($C18,'План учебного процесса'!$B$24:$BA$72,44,FALSE)</f>
        <v>20</v>
      </c>
      <c r="Q18" s="276">
        <f t="shared" si="4"/>
        <v>4.7058823529411766</v>
      </c>
      <c r="R18" s="275">
        <f>VLOOKUP($C18,'План учебного процесса'!$B$24:$BA$72,48,FALSE)</f>
        <v>114</v>
      </c>
      <c r="S18" s="275">
        <f>VLOOKUP($C18,'План учебного процесса'!$B$24:$BA$72,49,FALSE)</f>
        <v>50</v>
      </c>
      <c r="T18" s="276">
        <f t="shared" si="5"/>
        <v>6.333333333333333</v>
      </c>
      <c r="U18" s="274"/>
    </row>
    <row r="19" spans="1:21" x14ac:dyDescent="0.2">
      <c r="A19" s="275">
        <v>10</v>
      </c>
      <c r="B19" s="275" t="str">
        <f>'План учебного процесса'!A62</f>
        <v>УП.02</v>
      </c>
      <c r="C19" s="274" t="str">
        <f>VLOOKUP(B19,'План учебного процесса'!$A$24:$B$72,2,FALSE)</f>
        <v>Учебная практика ПМ02</v>
      </c>
      <c r="D19" s="275">
        <f>VLOOKUP($C19,'План учебного процесса'!$B$24:$BA$72,3,FALSE)</f>
        <v>0</v>
      </c>
      <c r="E19" s="275">
        <f>VLOOKUP($C19,'План учебного процесса'!$B$24:$BA$72,4,FALSE)</f>
        <v>8</v>
      </c>
      <c r="F19" s="275">
        <f>VLOOKUP($C19,'План учебного процесса'!$B$24:$BA$72,5,FALSE)</f>
        <v>0</v>
      </c>
      <c r="G19" s="275">
        <f t="shared" si="0"/>
        <v>180</v>
      </c>
      <c r="H19" s="275">
        <f t="shared" si="1"/>
        <v>180</v>
      </c>
      <c r="I19" s="275">
        <f t="shared" si="2"/>
        <v>0</v>
      </c>
      <c r="J19" s="275"/>
      <c r="K19" s="275">
        <f>VLOOKUP($C19,'План учебного процесса'!$B$24:$BA$72,10,FALSE)</f>
        <v>0</v>
      </c>
      <c r="L19" s="275">
        <f>VLOOKUP($C19,'План учебного процесса'!$B$24:$BA$72,46,FALSE)+VLOOKUP($C19,'План учебного процесса'!$B$24:$BA$72,51,FALSE)</f>
        <v>0</v>
      </c>
      <c r="M19" s="275">
        <f>VLOOKUP($C19,'План учебного процесса'!$B$24:$BA$72,47,FALSE)+VLOOKUP($C19,'План учебного процесса'!$B$24:$BA$72,52,FALSE)</f>
        <v>0</v>
      </c>
      <c r="N19" s="275">
        <f t="shared" si="3"/>
        <v>180</v>
      </c>
      <c r="O19" s="275">
        <f>VLOOKUP($C19,'План учебного процесса'!$B$24:$BA$72,43,FALSE)</f>
        <v>0</v>
      </c>
      <c r="P19" s="275">
        <f>VLOOKUP($C19,'План учебного процесса'!$B$24:$BA$72,44,FALSE)</f>
        <v>0</v>
      </c>
      <c r="Q19" s="276">
        <f t="shared" si="4"/>
        <v>0</v>
      </c>
      <c r="R19" s="275">
        <f>VLOOKUP($C19,'План учебного процесса'!$B$24:$BA$72,48,FALSE)</f>
        <v>180</v>
      </c>
      <c r="S19" s="275">
        <f>VLOOKUP($C19,'План учебного процесса'!$B$24:$BA$72,49,FALSE)</f>
        <v>0</v>
      </c>
      <c r="T19" s="276">
        <f t="shared" si="5"/>
        <v>10</v>
      </c>
      <c r="U19" s="274"/>
    </row>
    <row r="20" spans="1:21" x14ac:dyDescent="0.2">
      <c r="A20" s="275">
        <v>11</v>
      </c>
      <c r="B20" s="275" t="str">
        <f>'План учебного процесса'!A63</f>
        <v>ПП.02</v>
      </c>
      <c r="C20" s="274" t="str">
        <f>VLOOKUP(B20,'План учебного процесса'!$A$24:$B$72,2,FALSE)</f>
        <v>Производственная практика ПМ02</v>
      </c>
      <c r="D20" s="275">
        <f>VLOOKUP($C20,'План учебного процесса'!$B$24:$BA$72,3,FALSE)</f>
        <v>0</v>
      </c>
      <c r="E20" s="275">
        <f>VLOOKUP($C20,'План учебного процесса'!$B$24:$BA$72,4,FALSE)</f>
        <v>8</v>
      </c>
      <c r="F20" s="275">
        <f>VLOOKUP($C20,'План учебного процесса'!$B$24:$BA$72,5,FALSE)</f>
        <v>0</v>
      </c>
      <c r="G20" s="275">
        <f t="shared" si="0"/>
        <v>108</v>
      </c>
      <c r="H20" s="275">
        <f t="shared" si="1"/>
        <v>108</v>
      </c>
      <c r="I20" s="275">
        <f t="shared" si="2"/>
        <v>0</v>
      </c>
      <c r="J20" s="275"/>
      <c r="K20" s="275">
        <f>VLOOKUP($C20,'План учебного процесса'!$B$24:$BA$72,10,FALSE)</f>
        <v>0</v>
      </c>
      <c r="L20" s="275">
        <f>VLOOKUP($C20,'План учебного процесса'!$B$24:$BA$72,46,FALSE)+VLOOKUP($C20,'План учебного процесса'!$B$24:$BA$72,51,FALSE)</f>
        <v>0</v>
      </c>
      <c r="M20" s="275">
        <f>VLOOKUP($C20,'План учебного процесса'!$B$24:$BA$72,47,FALSE)+VLOOKUP($C20,'План учебного процесса'!$B$24:$BA$72,52,FALSE)</f>
        <v>0</v>
      </c>
      <c r="N20" s="275">
        <f t="shared" si="3"/>
        <v>108</v>
      </c>
      <c r="O20" s="275">
        <f>VLOOKUP($C20,'План учебного процесса'!$B$24:$BA$72,43,FALSE)</f>
        <v>0</v>
      </c>
      <c r="P20" s="275">
        <f>VLOOKUP($C20,'План учебного процесса'!$B$24:$BA$72,44,FALSE)</f>
        <v>0</v>
      </c>
      <c r="Q20" s="276">
        <f t="shared" si="4"/>
        <v>0</v>
      </c>
      <c r="R20" s="275">
        <f>VLOOKUP($C20,'План учебного процесса'!$B$24:$BA$72,48,FALSE)</f>
        <v>108</v>
      </c>
      <c r="S20" s="275">
        <f>VLOOKUP($C20,'План учебного процесса'!$B$24:$BA$72,49,FALSE)</f>
        <v>0</v>
      </c>
      <c r="T20" s="276">
        <f t="shared" si="5"/>
        <v>6</v>
      </c>
      <c r="U20" s="274"/>
    </row>
    <row r="21" spans="1:21" x14ac:dyDescent="0.2">
      <c r="A21" s="275">
        <v>12</v>
      </c>
      <c r="B21" s="275" t="str">
        <f>'План учебного процесса'!A64</f>
        <v>ПМ 02</v>
      </c>
      <c r="C21" s="274" t="str">
        <f>VLOOKUP(B21,'План учебного процесса'!$A$24:$B$72,2,FALSE)</f>
        <v>Экзаменпо модулю  ПМ02</v>
      </c>
      <c r="D21" s="275">
        <f>VLOOKUP($C21,'План учебного процесса'!$B$24:$BA$72,3,FALSE)</f>
        <v>0</v>
      </c>
      <c r="E21" s="275">
        <f>VLOOKUP($C21,'План учебного процесса'!$B$24:$BA$72,4,FALSE)</f>
        <v>0</v>
      </c>
      <c r="F21" s="275">
        <f>VLOOKUP($C21,'План учебного процесса'!$B$24:$BA$72,5,FALSE)</f>
        <v>8</v>
      </c>
      <c r="G21" s="275">
        <f t="shared" si="0"/>
        <v>6</v>
      </c>
      <c r="H21" s="275">
        <f t="shared" si="1"/>
        <v>0</v>
      </c>
      <c r="I21" s="275">
        <f t="shared" si="2"/>
        <v>0</v>
      </c>
      <c r="J21" s="275"/>
      <c r="K21" s="275">
        <f>VLOOKUP($C21,'План учебного процесса'!$B$24:$BA$72,10,FALSE)</f>
        <v>0</v>
      </c>
      <c r="L21" s="275">
        <f>VLOOKUP($C21,'План учебного процесса'!$B$24:$BA$72,46,FALSE)+VLOOKUP($C21,'План учебного процесса'!$B$24:$BA$72,51,FALSE)</f>
        <v>0</v>
      </c>
      <c r="M21" s="275">
        <f>VLOOKUP($C21,'План учебного процесса'!$B$24:$BA$72,47,FALSE)+VLOOKUP($C21,'План учебного процесса'!$B$24:$BA$72,52,FALSE)</f>
        <v>6</v>
      </c>
      <c r="N21" s="275">
        <f t="shared" si="3"/>
        <v>6</v>
      </c>
      <c r="O21" s="275">
        <f>VLOOKUP($C21,'План учебного процесса'!$B$24:$BA$72,43,FALSE)</f>
        <v>0</v>
      </c>
      <c r="P21" s="275">
        <f>VLOOKUP($C21,'План учебного процесса'!$B$24:$BA$72,44,FALSE)</f>
        <v>0</v>
      </c>
      <c r="Q21" s="276">
        <f t="shared" si="4"/>
        <v>0</v>
      </c>
      <c r="R21" s="275">
        <f>VLOOKUP($C21,'План учебного процесса'!$B$24:$BA$72,48,FALSE)</f>
        <v>6</v>
      </c>
      <c r="S21" s="275">
        <f>VLOOKUP($C21,'План учебного процесса'!$B$24:$BA$72,49,FALSE)</f>
        <v>0</v>
      </c>
      <c r="T21" s="276">
        <f t="shared" si="5"/>
        <v>0.33333333333333331</v>
      </c>
      <c r="U21" s="274"/>
    </row>
    <row r="22" spans="1:21" ht="24" x14ac:dyDescent="0.2">
      <c r="A22" s="275">
        <v>13</v>
      </c>
      <c r="B22" s="275" t="str">
        <f>'План учебного процесса'!A70</f>
        <v>ПДП</v>
      </c>
      <c r="C22" s="274" t="str">
        <f>VLOOKUP(B22,'План учебного процесса'!$A$24:$B$72,2,FALSE)</f>
        <v>Производственная практика (преддипломная)</v>
      </c>
      <c r="D22" s="275">
        <f>VLOOKUP($C22,'План учебного процесса'!$B$24:$BA$72,3,FALSE)</f>
        <v>0</v>
      </c>
      <c r="E22" s="275">
        <f>VLOOKUP($C22,'План учебного процесса'!$B$24:$BA$72,4,FALSE)</f>
        <v>8</v>
      </c>
      <c r="F22" s="275">
        <f>VLOOKUP($C22,'План учебного процесса'!$B$24:$BA$72,5,FALSE)</f>
        <v>0</v>
      </c>
      <c r="G22" s="275">
        <f t="shared" si="0"/>
        <v>144</v>
      </c>
      <c r="H22" s="275">
        <f t="shared" si="1"/>
        <v>144</v>
      </c>
      <c r="I22" s="275">
        <f t="shared" si="2"/>
        <v>0</v>
      </c>
      <c r="J22" s="275"/>
      <c r="K22" s="275">
        <f>VLOOKUP($C22,'План учебного процесса'!$B$24:$BA$72,10,FALSE)</f>
        <v>0</v>
      </c>
      <c r="L22" s="275">
        <f>VLOOKUP($C22,'План учебного процесса'!$B$24:$BA$72,46,FALSE)+VLOOKUP($C22,'План учебного процесса'!$B$24:$BA$72,51,FALSE)</f>
        <v>0</v>
      </c>
      <c r="M22" s="275">
        <f>VLOOKUP($C22,'План учебного процесса'!$B$24:$BA$72,47,FALSE)+VLOOKUP($C22,'План учебного процесса'!$B$24:$BA$72,52,FALSE)</f>
        <v>0</v>
      </c>
      <c r="N22" s="275">
        <f t="shared" si="3"/>
        <v>144</v>
      </c>
      <c r="O22" s="275">
        <f>VLOOKUP($C22,'План учебного процесса'!$B$24:$BA$72,43,FALSE)</f>
        <v>0</v>
      </c>
      <c r="P22" s="275">
        <f>VLOOKUP($C22,'План учебного процесса'!$B$24:$BA$72,44,FALSE)</f>
        <v>0</v>
      </c>
      <c r="Q22" s="276">
        <f t="shared" si="4"/>
        <v>0</v>
      </c>
      <c r="R22" s="275">
        <f>VLOOKUP($C22,'План учебного процесса'!$B$24:$BA$72,48,FALSE)</f>
        <v>144</v>
      </c>
      <c r="S22" s="275">
        <f>VLOOKUP($C22,'План учебного процесса'!$B$24:$BA$72,49,FALSE)</f>
        <v>0</v>
      </c>
      <c r="T22" s="276">
        <f t="shared" si="5"/>
        <v>8</v>
      </c>
      <c r="U22" s="274"/>
    </row>
    <row r="23" spans="1:21" x14ac:dyDescent="0.2">
      <c r="A23" s="277"/>
      <c r="B23" s="277"/>
      <c r="C23" s="278" t="s">
        <v>395</v>
      </c>
      <c r="D23" s="279"/>
      <c r="E23" s="279"/>
      <c r="F23" s="279"/>
      <c r="G23" s="281">
        <f>SUM(G13:G22)</f>
        <v>1260</v>
      </c>
      <c r="H23" s="283"/>
      <c r="I23" s="283"/>
      <c r="J23" s="283"/>
      <c r="K23" s="283"/>
      <c r="L23" s="281"/>
      <c r="M23" s="281"/>
      <c r="N23" s="281">
        <f>SUM(N13:N22)</f>
        <v>1250</v>
      </c>
      <c r="O23" s="281">
        <f>SUM(O13:O22)</f>
        <v>612</v>
      </c>
      <c r="P23" s="281"/>
      <c r="Q23" s="281">
        <f>SUM(Q13:Q22)</f>
        <v>36</v>
      </c>
      <c r="R23" s="281">
        <f>SUM(R13:R22)</f>
        <v>648</v>
      </c>
      <c r="S23" s="281"/>
      <c r="T23" s="281">
        <f>SUM(T13:T22)</f>
        <v>36</v>
      </c>
      <c r="U23" s="274"/>
    </row>
  </sheetData>
  <mergeCells count="21">
    <mergeCell ref="A1:U1"/>
    <mergeCell ref="A9:A12"/>
    <mergeCell ref="B9:B12"/>
    <mergeCell ref="C9:C12"/>
    <mergeCell ref="D9:F9"/>
    <mergeCell ref="G9:M9"/>
    <mergeCell ref="N9:N12"/>
    <mergeCell ref="O9:T9"/>
    <mergeCell ref="U9:U12"/>
    <mergeCell ref="D10:D12"/>
    <mergeCell ref="O10:Q10"/>
    <mergeCell ref="R10:T10"/>
    <mergeCell ref="H11:H12"/>
    <mergeCell ref="I11:J11"/>
    <mergeCell ref="K11:K12"/>
    <mergeCell ref="L11:L12"/>
    <mergeCell ref="M11:M12"/>
    <mergeCell ref="E10:E12"/>
    <mergeCell ref="F10:F12"/>
    <mergeCell ref="G10:G12"/>
    <mergeCell ref="H10:M10"/>
  </mergeCells>
  <conditionalFormatting sqref="D13:M22 O13:T22">
    <cfRule type="cellIs" dxfId="0" priority="1" operator="equal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Титульный лист</vt:lpstr>
      <vt:lpstr>План учебного процесса</vt:lpstr>
      <vt:lpstr>КУП</vt:lpstr>
      <vt:lpstr>Перечень кабинетов</vt:lpstr>
      <vt:lpstr>Сводные данные по бюджету </vt:lpstr>
      <vt:lpstr>1 курс</vt:lpstr>
      <vt:lpstr>2 курс</vt:lpstr>
      <vt:lpstr>3 курс</vt:lpstr>
      <vt:lpstr>4 курс</vt:lpstr>
      <vt:lpstr>'Перечень кабинетов'!Область_печати</vt:lpstr>
      <vt:lpstr>'План учебного процесса'!Область_печати</vt:lpstr>
      <vt:lpstr>'Сводные данные по бюджету '!Область_печати</vt:lpstr>
      <vt:lpstr>'Титульный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Папа</dc:creator>
  <dc:description/>
  <cp:lastModifiedBy>Metodkab-203</cp:lastModifiedBy>
  <cp:revision>11</cp:revision>
  <cp:lastPrinted>2026-04-28T09:42:29Z</cp:lastPrinted>
  <dcterms:created xsi:type="dcterms:W3CDTF">2011-05-31T12:41:24Z</dcterms:created>
  <dcterms:modified xsi:type="dcterms:W3CDTF">2026-07-03T08:58:05Z</dcterms:modified>
  <dc:language>en-US</dc:language>
</cp:coreProperties>
</file>